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I:\Leitung\LeitungXA\DVGW RÜCKDOS_2019_PACC_25646\Projektabschluss\"/>
    </mc:Choice>
  </mc:AlternateContent>
  <workbookProtection workbookAlgorithmName="SHA-512" workbookHashValue="ZWqpCzZvlkT+6Mh7Lb0YifAkdaln6XI72xP8w5TIw4XJ0GrBGFBDbiWBrTFixpsJYQeU438U9OQ9NUTUSoD0oQ==" workbookSaltValue="/+AAqLI5Ij1/5YYuzQxN4g==" workbookSpinCount="100000" lockStructure="1"/>
  <bookViews>
    <workbookView xWindow="-120" yWindow="-120" windowWidth="29040" windowHeight="15840" activeTab="1"/>
  </bookViews>
  <sheets>
    <sheet name="Kurzanleitung" sheetId="13" r:id="rId1"/>
    <sheet name="Hauptmenü" sheetId="1" r:id="rId2"/>
    <sheet name="Dosisabschätzung" sheetId="8" r:id="rId3"/>
    <sheet name="Dosis Hilfsblatt" sheetId="12" state="hidden" r:id="rId4"/>
    <sheet name="Filtersand,-kies" sheetId="2" state="hidden" r:id="rId5"/>
    <sheet name="Kornaktivkohle" sheetId="6" state="hidden" r:id="rId6"/>
    <sheet name="Harze" sheetId="3" state="hidden" r:id="rId7"/>
    <sheet name="Auswahl" sheetId="10" state="hidden" r:id="rId8"/>
    <sheet name="ADR" sheetId="9" state="hidden" r:id="rId9"/>
  </sheets>
  <definedNames>
    <definedName name="_Hlk46430197" localSheetId="7">Auswahl!$A$41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8" l="1"/>
  <c r="B9" i="8"/>
  <c r="H9" i="8"/>
  <c r="J9" i="8"/>
  <c r="H10" i="8"/>
  <c r="R40" i="12" l="1"/>
  <c r="M20" i="12"/>
  <c r="N37" i="12"/>
  <c r="R37" i="12" s="1"/>
  <c r="R38" i="12" s="1"/>
  <c r="R36" i="12"/>
  <c r="N33" i="12"/>
  <c r="R33" i="12" s="1"/>
  <c r="R34" i="12" s="1"/>
  <c r="R32" i="12"/>
  <c r="R28" i="12"/>
  <c r="R27" i="12"/>
  <c r="R26" i="12"/>
  <c r="R25" i="12"/>
  <c r="R29" i="12" s="1"/>
  <c r="R24" i="12"/>
  <c r="M14" i="12"/>
  <c r="M15" i="12" s="1"/>
  <c r="Q35" i="1"/>
  <c r="Q36" i="1"/>
  <c r="Q37" i="1"/>
  <c r="Q34" i="1"/>
  <c r="Q29" i="1"/>
  <c r="Q30" i="1"/>
  <c r="Q32" i="1"/>
  <c r="Q33" i="1"/>
  <c r="Q28" i="1"/>
  <c r="E11" i="1"/>
  <c r="M18" i="12" l="1"/>
  <c r="M19" i="12" s="1"/>
  <c r="R32" i="1"/>
  <c r="H21" i="1" s="1"/>
  <c r="K18" i="1"/>
  <c r="H18" i="1"/>
  <c r="B81" i="12" l="1"/>
  <c r="B82" i="12"/>
  <c r="C5" i="3" l="1"/>
  <c r="C5" i="6"/>
  <c r="S21" i="1" l="1"/>
  <c r="W21" i="1"/>
  <c r="AA21" i="1"/>
  <c r="N34" i="10"/>
  <c r="K17" i="1"/>
  <c r="K19" i="1"/>
  <c r="H19" i="1"/>
  <c r="M11" i="2" l="1"/>
  <c r="M11" i="3"/>
  <c r="M11" i="6"/>
  <c r="G11" i="2"/>
  <c r="G11" i="6"/>
  <c r="G11" i="3"/>
  <c r="C11" i="2"/>
  <c r="C11" i="6"/>
  <c r="C11" i="3"/>
  <c r="R25" i="1"/>
  <c r="B66" i="12" l="1"/>
  <c r="H11" i="1" l="1"/>
  <c r="H12" i="1"/>
  <c r="H13" i="1"/>
  <c r="H14" i="1"/>
  <c r="H16" i="1"/>
  <c r="H17" i="1"/>
  <c r="H20" i="1"/>
  <c r="H15" i="1"/>
  <c r="AA15" i="1" l="1"/>
  <c r="AA16" i="1"/>
  <c r="AA17" i="1"/>
  <c r="AA18" i="1"/>
  <c r="AA19" i="1"/>
  <c r="AA20" i="1"/>
  <c r="AA22" i="1"/>
  <c r="AA23" i="1"/>
  <c r="AA14" i="1"/>
  <c r="W15" i="1"/>
  <c r="W16" i="1"/>
  <c r="W14" i="1"/>
  <c r="S14" i="1"/>
  <c r="S17" i="1"/>
  <c r="S18" i="1"/>
  <c r="S19" i="1"/>
  <c r="S16" i="1"/>
  <c r="K12" i="1"/>
  <c r="K13" i="1"/>
  <c r="K14" i="1"/>
  <c r="K15" i="1"/>
  <c r="K16" i="1"/>
  <c r="K20" i="1"/>
  <c r="K11" i="1"/>
  <c r="C6" i="6" l="1"/>
  <c r="C6" i="3"/>
  <c r="C9" i="3"/>
  <c r="C9" i="6"/>
  <c r="G4" i="6"/>
  <c r="G4" i="3"/>
  <c r="M12" i="3"/>
  <c r="M12" i="6"/>
  <c r="M7" i="6"/>
  <c r="M7" i="3"/>
  <c r="G6" i="6"/>
  <c r="G6" i="3"/>
  <c r="C7" i="3"/>
  <c r="C7" i="6"/>
  <c r="G5" i="3"/>
  <c r="G5" i="6"/>
  <c r="M10" i="2"/>
  <c r="M10" i="3"/>
  <c r="M10" i="6"/>
  <c r="M5" i="6"/>
  <c r="M5" i="3"/>
  <c r="C4" i="3"/>
  <c r="D4" i="3" s="1"/>
  <c r="D5" i="3" s="1"/>
  <c r="C4" i="6"/>
  <c r="M3" i="6"/>
  <c r="M3" i="3"/>
  <c r="M8" i="6"/>
  <c r="O8" i="6" s="1"/>
  <c r="M8" i="3"/>
  <c r="O8" i="3" s="1"/>
  <c r="M4" i="6"/>
  <c r="M4" i="3"/>
  <c r="C8" i="6"/>
  <c r="C8" i="3"/>
  <c r="M6" i="6"/>
  <c r="M6" i="3"/>
  <c r="N28" i="10"/>
  <c r="N29" i="10"/>
  <c r="N30" i="10"/>
  <c r="N31" i="10"/>
  <c r="N32" i="10"/>
  <c r="N33" i="10"/>
  <c r="N35" i="10"/>
  <c r="N36" i="10"/>
  <c r="N27" i="10"/>
  <c r="G8" i="3" l="1"/>
  <c r="G8" i="6"/>
  <c r="G9" i="3"/>
  <c r="G9" i="6"/>
  <c r="D7" i="6"/>
  <c r="D8" i="3"/>
  <c r="D9" i="3" s="1"/>
  <c r="D14" i="3"/>
  <c r="D8" i="6"/>
  <c r="D9" i="6" s="1"/>
  <c r="D14" i="6"/>
  <c r="D7" i="3"/>
  <c r="D4" i="6"/>
  <c r="D5" i="6" s="1"/>
  <c r="D6" i="3"/>
  <c r="D6" i="6"/>
  <c r="O6" i="3"/>
  <c r="Q14" i="3"/>
  <c r="O6" i="6"/>
  <c r="Q14" i="6"/>
  <c r="G6" i="2"/>
  <c r="G4" i="2"/>
  <c r="G8" i="2" l="1"/>
  <c r="J6" i="6"/>
  <c r="J7" i="6" s="1"/>
  <c r="J6" i="3"/>
  <c r="Q6" i="3"/>
  <c r="Q8" i="3"/>
  <c r="Q9" i="3" s="1"/>
  <c r="Q7" i="6"/>
  <c r="Q8" i="6"/>
  <c r="Q9" i="6" s="1"/>
  <c r="Q6" i="6"/>
  <c r="O4" i="6"/>
  <c r="O5" i="6" s="1"/>
  <c r="Q5" i="6" s="1"/>
  <c r="O7" i="6"/>
  <c r="O4" i="3"/>
  <c r="O5" i="3" s="1"/>
  <c r="Q5" i="3" s="1"/>
  <c r="O7" i="3"/>
  <c r="Q7" i="3" s="1"/>
  <c r="B21" i="12"/>
  <c r="Q4" i="3" l="1"/>
  <c r="Q4" i="6"/>
  <c r="J8" i="6"/>
  <c r="J9" i="6" s="1"/>
  <c r="J14" i="6"/>
  <c r="D19" i="6" s="1"/>
  <c r="D20" i="6" s="1"/>
  <c r="J4" i="6"/>
  <c r="J5" i="6" s="1"/>
  <c r="J4" i="3"/>
  <c r="J5" i="3" s="1"/>
  <c r="J8" i="3"/>
  <c r="J9" i="3" s="1"/>
  <c r="J14" i="3"/>
  <c r="J7" i="3"/>
  <c r="H91" i="12"/>
  <c r="H90" i="12"/>
  <c r="H88" i="12"/>
  <c r="D18" i="6" l="1"/>
  <c r="D21" i="6"/>
  <c r="D16" i="6"/>
  <c r="D22" i="6"/>
  <c r="D17" i="6"/>
  <c r="D16" i="3"/>
  <c r="D17" i="3"/>
  <c r="D19" i="3"/>
  <c r="D20" i="3" s="1"/>
  <c r="D21" i="3"/>
  <c r="D18" i="3"/>
  <c r="D22" i="3"/>
  <c r="B19" i="12"/>
  <c r="B20" i="12"/>
  <c r="E91" i="12" l="1"/>
  <c r="E90" i="12"/>
  <c r="C89" i="12"/>
  <c r="E88" i="12"/>
  <c r="E89" i="12" l="1"/>
  <c r="H89" i="12"/>
  <c r="G29" i="1"/>
  <c r="D1" i="9" l="1"/>
  <c r="M12" i="2" l="1"/>
  <c r="C9" i="2"/>
  <c r="M8" i="2"/>
  <c r="O8" i="2" s="1"/>
  <c r="C8" i="2"/>
  <c r="M7" i="2"/>
  <c r="C7" i="2"/>
  <c r="M6" i="2"/>
  <c r="O6" i="2" s="1"/>
  <c r="C6" i="2"/>
  <c r="M5" i="2"/>
  <c r="G5" i="2"/>
  <c r="G9" i="2" s="1"/>
  <c r="C5" i="2"/>
  <c r="M4" i="2"/>
  <c r="C4" i="2"/>
  <c r="M3" i="2"/>
  <c r="D8" i="2" l="1"/>
  <c r="D9" i="2" s="1"/>
  <c r="D14" i="2"/>
  <c r="Q14" i="2"/>
  <c r="Q8" i="2" s="1"/>
  <c r="Q9" i="2" s="1"/>
  <c r="O7" i="2"/>
  <c r="D6" i="2"/>
  <c r="O4" i="2"/>
  <c r="O5" i="2" s="1"/>
  <c r="D7" i="2"/>
  <c r="D4" i="2"/>
  <c r="D5" i="2" s="1"/>
  <c r="J6" i="2"/>
  <c r="J8" i="2" l="1"/>
  <c r="J9" i="2" s="1"/>
  <c r="Q6" i="2"/>
  <c r="Q4" i="2"/>
  <c r="Q7" i="2"/>
  <c r="Q5" i="2"/>
  <c r="J7" i="2"/>
  <c r="J4" i="2"/>
  <c r="J5" i="2" s="1"/>
  <c r="J14" i="2"/>
  <c r="D17" i="2" l="1"/>
  <c r="O14" i="1" s="1"/>
  <c r="D22" i="2"/>
  <c r="O19" i="1" s="1"/>
  <c r="D19" i="2"/>
  <c r="O16" i="1" s="1"/>
  <c r="D21" i="2"/>
  <c r="D18" i="2"/>
  <c r="O15" i="1" s="1"/>
  <c r="D16" i="2"/>
  <c r="O13" i="1" s="1"/>
  <c r="B12" i="12" l="1"/>
  <c r="B38" i="12" s="1"/>
  <c r="C3" i="9"/>
  <c r="M21" i="1"/>
  <c r="O18" i="1"/>
  <c r="B10" i="12"/>
  <c r="B71" i="12"/>
  <c r="D71" i="12" s="1"/>
  <c r="B72" i="12"/>
  <c r="D72" i="12" s="1"/>
  <c r="B69" i="12"/>
  <c r="D69" i="12" s="1"/>
  <c r="C5" i="9"/>
  <c r="G5" i="9" s="1"/>
  <c r="D20" i="2"/>
  <c r="B35" i="12" l="1"/>
  <c r="B37" i="12" s="1"/>
  <c r="B39" i="12" s="1"/>
  <c r="B74" i="12"/>
  <c r="D74" i="12" s="1"/>
  <c r="B26" i="12"/>
  <c r="C8" i="9"/>
  <c r="G8" i="9" s="1"/>
  <c r="B11" i="12"/>
  <c r="B53" i="12" s="1"/>
  <c r="O17" i="1"/>
  <c r="B23" i="12"/>
  <c r="B25" i="12" s="1"/>
  <c r="C4" i="9"/>
  <c r="G4" i="9" s="1"/>
  <c r="B70" i="12"/>
  <c r="D70" i="12" s="1"/>
  <c r="C9" i="9"/>
  <c r="G9" i="9" s="1"/>
  <c r="B75" i="12"/>
  <c r="D75" i="12" s="1"/>
  <c r="R10" i="1"/>
  <c r="G3" i="9"/>
  <c r="C6" i="9"/>
  <c r="G6" i="9" s="1"/>
  <c r="D5" i="9"/>
  <c r="H5" i="9" s="1"/>
  <c r="R39" i="1" l="1"/>
  <c r="R9" i="1"/>
  <c r="R11" i="1" s="1"/>
  <c r="B27" i="12"/>
  <c r="B59" i="12"/>
  <c r="I14" i="8" s="1"/>
  <c r="B84" i="12"/>
  <c r="B29" i="12"/>
  <c r="B31" i="12" s="1"/>
  <c r="B32" i="12"/>
  <c r="B46" i="12" s="1"/>
  <c r="D8" i="9"/>
  <c r="H8" i="9" s="1"/>
  <c r="B73" i="12"/>
  <c r="D73" i="12" s="1"/>
  <c r="D76" i="12" s="1"/>
  <c r="I13" i="8" s="1"/>
  <c r="C7" i="9"/>
  <c r="G7" i="9" s="1"/>
  <c r="G10" i="9" s="1"/>
  <c r="D4" i="9"/>
  <c r="H4" i="9" s="1"/>
  <c r="D9" i="9"/>
  <c r="H9" i="9" s="1"/>
  <c r="D3" i="9"/>
  <c r="H3" i="9" s="1"/>
  <c r="D6" i="9"/>
  <c r="H6" i="9" s="1"/>
  <c r="L14" i="8" l="1"/>
  <c r="L19" i="8" s="1"/>
  <c r="E94" i="12" s="1"/>
  <c r="K92" i="12" s="1"/>
  <c r="I19" i="8"/>
  <c r="G30" i="1"/>
  <c r="H30" i="1" s="1"/>
  <c r="G31" i="1"/>
  <c r="I31" i="1"/>
  <c r="H31" i="1"/>
  <c r="B33" i="12"/>
  <c r="B43" i="12" s="1"/>
  <c r="D7" i="9"/>
  <c r="H7" i="9" s="1"/>
  <c r="H10" i="9" s="1"/>
  <c r="H11" i="9" s="1"/>
  <c r="G36" i="1" s="1"/>
  <c r="I36" i="1" s="1"/>
  <c r="G32" i="1" l="1"/>
  <c r="E93" i="12"/>
  <c r="J92" i="12" s="1"/>
  <c r="B44" i="12"/>
  <c r="E14" i="8" l="1"/>
  <c r="E19" i="8" s="1"/>
  <c r="B21" i="8" l="1"/>
  <c r="E92" i="12"/>
  <c r="I92" i="12" s="1"/>
  <c r="R40" i="1"/>
  <c r="F2" i="8" s="1"/>
  <c r="I30" i="1"/>
  <c r="M20" i="1" l="1"/>
  <c r="I32" i="1"/>
</calcChain>
</file>

<file path=xl/sharedStrings.xml><?xml version="1.0" encoding="utf-8"?>
<sst xmlns="http://schemas.openxmlformats.org/spreadsheetml/2006/main" count="631" uniqueCount="271">
  <si>
    <t>U-238</t>
  </si>
  <si>
    <t>U-234</t>
  </si>
  <si>
    <t>Ra-226</t>
  </si>
  <si>
    <t>Pb-210</t>
  </si>
  <si>
    <t>Ra-228</t>
  </si>
  <si>
    <t>Th-228</t>
  </si>
  <si>
    <t>ODL</t>
  </si>
  <si>
    <t>Wassermenge und Standzeit</t>
  </si>
  <si>
    <t>Unat</t>
  </si>
  <si>
    <t>Wassermenge</t>
  </si>
  <si>
    <t>Bq/g</t>
  </si>
  <si>
    <t>Gammastrahlung</t>
  </si>
  <si>
    <t>nSv/h</t>
  </si>
  <si>
    <t>µg/l</t>
  </si>
  <si>
    <t>m³</t>
  </si>
  <si>
    <t>von Eingabe</t>
  </si>
  <si>
    <t>Vektor</t>
  </si>
  <si>
    <t>Vektor brauchbar?</t>
  </si>
  <si>
    <t>Einzelnuklide</t>
  </si>
  <si>
    <t>Akt.-Konz. Wasser</t>
  </si>
  <si>
    <t>Bq/l</t>
  </si>
  <si>
    <t>Rückhaltung</t>
  </si>
  <si>
    <t>Filtermenge</t>
  </si>
  <si>
    <t>Verwendeter Vektor</t>
  </si>
  <si>
    <t>ODL Fass</t>
  </si>
  <si>
    <t>ODL Ofl.</t>
  </si>
  <si>
    <t>Ra-226 Fass</t>
  </si>
  <si>
    <t>Ra-226 Ofl.</t>
  </si>
  <si>
    <t>Filtervolumen</t>
  </si>
  <si>
    <t>Schüttdichte</t>
  </si>
  <si>
    <t>t/m³</t>
  </si>
  <si>
    <t>m3</t>
  </si>
  <si>
    <t>t</t>
  </si>
  <si>
    <t>Unterliegt ein Transport der ADR Klasse 7?</t>
  </si>
  <si>
    <t>Tabelle 2.2.7.2.2.1</t>
  </si>
  <si>
    <t>Masse (t)</t>
  </si>
  <si>
    <t>Spalte  4 (Bq/g)</t>
  </si>
  <si>
    <t>Spalte 5 (Bq)</t>
  </si>
  <si>
    <t>Po-210</t>
  </si>
  <si>
    <t>ADR spez. A.?</t>
  </si>
  <si>
    <t>ADR ges. A.?</t>
  </si>
  <si>
    <t>Bq</t>
  </si>
  <si>
    <t>Entscheidung</t>
  </si>
  <si>
    <t>ADR ja/nein?</t>
  </si>
  <si>
    <t>Art der Rückstände</t>
  </si>
  <si>
    <t>Verwertungs- oder Beseitigungsweg</t>
  </si>
  <si>
    <t>Menge pro LKW-Transport</t>
  </si>
  <si>
    <t>Mittlerer Abstand von den Rückständen</t>
  </si>
  <si>
    <t>Filterkiese/-sande</t>
  </si>
  <si>
    <t>Kornaktivkohle</t>
  </si>
  <si>
    <t>Untertägige Verwertung oder Deponierung</t>
  </si>
  <si>
    <t>Einheit:</t>
  </si>
  <si>
    <t>Zusetzen von &gt;50% zu Baustoffen z.B. Sport- und Spielplätze</t>
  </si>
  <si>
    <t>Deponierung &gt;5000 t/a im Einzugsbereich eines nutzbaren GW-Leiters</t>
  </si>
  <si>
    <t>Verwertungs- oder Beseitigungsweg (genaue Formulierungen siehe Anlage 5 StrlSchV)</t>
  </si>
  <si>
    <t>µSv/h</t>
  </si>
  <si>
    <t>Aufenthalt in der Nähe der Rückstände (bis zu einigen Metern Abstand)</t>
  </si>
  <si>
    <t>m</t>
  </si>
  <si>
    <t>Stunden pro Tag</t>
  </si>
  <si>
    <t>Transport</t>
  </si>
  <si>
    <t>Ausbau, Verladung, Handling</t>
  </si>
  <si>
    <t>LKW-Transport</t>
  </si>
  <si>
    <t>Radon</t>
  </si>
  <si>
    <t>Terrestrische Strahlung</t>
  </si>
  <si>
    <t>Kosmische Strahlung</t>
  </si>
  <si>
    <t>Radioaktivität in Lebensmitteln</t>
  </si>
  <si>
    <t>mSv/a</t>
  </si>
  <si>
    <t>µSv/d</t>
  </si>
  <si>
    <t>Aufenthalt in der Nähe der Rückstände</t>
  </si>
  <si>
    <t xml:space="preserve">Arbeitszeit </t>
  </si>
  <si>
    <t>Hilfstabelle für Diagramm</t>
  </si>
  <si>
    <t>Expositionsszenario</t>
  </si>
  <si>
    <t>Aufenthalt</t>
  </si>
  <si>
    <t>Ausbau. Verladung, Handling</t>
  </si>
  <si>
    <t>Rückstände</t>
  </si>
  <si>
    <t>Natürliche Strahlung</t>
  </si>
  <si>
    <t>Aufenthalt nahe der Rückstände</t>
  </si>
  <si>
    <t>Oberfläche Haufwerk</t>
  </si>
  <si>
    <t>Wert*</t>
  </si>
  <si>
    <t>Haufwerk</t>
  </si>
  <si>
    <t>Eff. Kugelradius</t>
  </si>
  <si>
    <t>Spez. Aktivität Ra-226</t>
  </si>
  <si>
    <t>Spez. Aktivität Ra-228</t>
  </si>
  <si>
    <t>Aktivität Ra-226</t>
  </si>
  <si>
    <t>Gamma Ra-226</t>
  </si>
  <si>
    <t>Auswahlparameter</t>
  </si>
  <si>
    <t>Abstand</t>
  </si>
  <si>
    <t>H*(10) (µSv/h)</t>
  </si>
  <si>
    <t>Dichte</t>
  </si>
  <si>
    <t>µSv/h m² /Bq</t>
  </si>
  <si>
    <t>Wenn auf Hauptmenü Dichte eingegeben wird, wird diese übernommen.</t>
  </si>
  <si>
    <t>Aktivität Ra-228</t>
  </si>
  <si>
    <t>Grenze H* Ra-226</t>
  </si>
  <si>
    <t>Abgeschnitten H* Ra-226</t>
  </si>
  <si>
    <t>Berechnet H* Ra-228</t>
  </si>
  <si>
    <t>Berechnet H* Ra-226</t>
  </si>
  <si>
    <t>Grenze H* Ra-228</t>
  </si>
  <si>
    <t>Abgeschnitten H* Ra-228</t>
  </si>
  <si>
    <t>Gamma Ra-226 in 2Pi-Geometrie</t>
  </si>
  <si>
    <t>Gamma Ra-228 in 2Pi-Geometrie</t>
  </si>
  <si>
    <t>µSv/h je Bq/g</t>
  </si>
  <si>
    <t>Handling</t>
  </si>
  <si>
    <t>Ra-226 Einheitsdosis</t>
  </si>
  <si>
    <t>Ra-228 Einheitsdosis</t>
  </si>
  <si>
    <t>NCC-Bericht BfS 2018, so etwa auch in Tab. 21 von RP-122/II</t>
  </si>
  <si>
    <t>Summe eff. Dosis</t>
  </si>
  <si>
    <t>Tab. 21 von RP-122/II</t>
  </si>
  <si>
    <t>Stunden pro Transport (Hinfahrt)</t>
  </si>
  <si>
    <t>Laboranalysen</t>
  </si>
  <si>
    <t>Dateneingabe</t>
  </si>
  <si>
    <t>Bezeichnung des Rückstands (betriebsintern)</t>
  </si>
  <si>
    <t>Tagen pro Jahr</t>
  </si>
  <si>
    <t>Transporte pro Jahr</t>
  </si>
  <si>
    <t>Orientierende Erstbewertung</t>
  </si>
  <si>
    <t>Stunden pro Tag an</t>
  </si>
  <si>
    <t>mSv pro Jahr</t>
  </si>
  <si>
    <t>Transportrechtliche Einordnung</t>
  </si>
  <si>
    <t>Strahlenschutzrechtliche Überwachungsbedürftigkeit</t>
  </si>
  <si>
    <t>Behälterentleerung mit Schlauch</t>
  </si>
  <si>
    <t>µSv/h /(Bq/g)</t>
  </si>
  <si>
    <t>Bei Annahme 0.15 m Schlauchdurchmesser und 0.3 m Abstand von Schlauchmitte</t>
  </si>
  <si>
    <t>Beispielbezeichnung Rückstand ABC</t>
  </si>
  <si>
    <t>In Becken (z.B. Probenahme)</t>
  </si>
  <si>
    <t>Ra-226 Einheitsdosis (eff.)</t>
  </si>
  <si>
    <t>Ra-228 Einheitsdosis (eff.)</t>
  </si>
  <si>
    <t>Zusatzdosis, Schlauch, eff. Dosis</t>
  </si>
  <si>
    <t>Schlauch Einheitsdosis Ra-226, H*(10)</t>
  </si>
  <si>
    <t>Am Fass bzw. Big Bag</t>
  </si>
  <si>
    <t>Hintergrund</t>
  </si>
  <si>
    <t>Dosis (µSv/h) effektiv</t>
  </si>
  <si>
    <t>Eff. Dosis ausgedehte Ebene (µSv/h)</t>
  </si>
  <si>
    <t>Hintergrundstrahlung</t>
  </si>
  <si>
    <t>Messwerte Gammastrahlung am/auf dem Rückstand</t>
  </si>
  <si>
    <t>Messwerte Radioaktivitätsgehalt im Rohwasser</t>
  </si>
  <si>
    <t>Was ist zu tun?</t>
  </si>
  <si>
    <t>Option 3</t>
  </si>
  <si>
    <t>Welche Daten stehen zur Verfügung? (Optionen)</t>
  </si>
  <si>
    <t>Datensätze der Eingabe pro Option</t>
  </si>
  <si>
    <t>Option 4</t>
  </si>
  <si>
    <t>Messwerte der spezifischen Aktivität aller Nuklide im Rückstand</t>
  </si>
  <si>
    <t>&lt;</t>
  </si>
  <si>
    <t xml:space="preserve">&lt; Spalte </t>
  </si>
  <si>
    <t>Wert</t>
  </si>
  <si>
    <t>Parameter</t>
  </si>
  <si>
    <t>Einheit</t>
  </si>
  <si>
    <t>Bq/g (Trockenmasse)</t>
  </si>
  <si>
    <t>Faktor R für Pb-210</t>
  </si>
  <si>
    <t>Handelt es sich um einen Rückstand nach Anlage 1 StrlSchG?</t>
  </si>
  <si>
    <t>Einbeziehung U-238-Reihe</t>
  </si>
  <si>
    <t>Einbeziehung Th-232-Reihe</t>
  </si>
  <si>
    <t>Hilfsgrößen</t>
  </si>
  <si>
    <t>Ra-226 (muss mindestens eingetragen werden)</t>
  </si>
  <si>
    <t>Ist der Rückstand überwachungsbedürftig nach Anlage 5 StrlSchV?</t>
  </si>
  <si>
    <t>Dosisabschätzung für Beschäftigte</t>
  </si>
  <si>
    <t>Orientierende Abschätzung der spezifischen Aktivität der Rückstände auf der Basis der eingegebenen Daten und ggf. Ergänzung nicht vorhandener Daten:</t>
  </si>
  <si>
    <t>Option 1</t>
  </si>
  <si>
    <t>Option 2</t>
  </si>
  <si>
    <t>Bewegung von Behältern, Big Bag, Haufwerk</t>
  </si>
  <si>
    <t>Behälter, Big Bag</t>
  </si>
  <si>
    <t>Behälter oder Haufwerk</t>
  </si>
  <si>
    <t>Ort des Rückstandes (betriebsintern)</t>
  </si>
  <si>
    <t>Beispiel-Wasserwerk XYZ, Behälter 10</t>
  </si>
  <si>
    <t>Welche Daten liegen vor? (Option 1 bis 4)</t>
  </si>
  <si>
    <t>1. Ziel des Excel-Tools</t>
  </si>
  <si>
    <t>2. Dateneingabe</t>
  </si>
  <si>
    <t>3. Orientierende Erstbewertung der Rückstände</t>
  </si>
  <si>
    <t>4. Abschätzung der Dosis für Beschäftigte</t>
  </si>
  <si>
    <t>Mit dem Rückstand aufbereitete Rohwassermenge</t>
  </si>
  <si>
    <t>Volumen/Menge des Rückstands</t>
  </si>
  <si>
    <t>Schüttdichte des Rückstands</t>
  </si>
  <si>
    <t>Uran</t>
  </si>
  <si>
    <t>Die orientierende Bewertung sollte unter Einbeziehung der zuständigen Behörde und/oder einer fachlich kompetenten Person geprüft werden. Auf der Basis dieser Prüfung ist dann ggf. vor der Entsorgung ein Antrag auf Entlassung auf der Strahlenschutzüberwachung durch das WVU zu stellen.</t>
  </si>
  <si>
    <t>Kein Einsatz als Bauprodukt.</t>
  </si>
  <si>
    <t>Keine Anforderungen.</t>
  </si>
  <si>
    <t>An Verpackung und Transport der Rückstände werden besondere Anforderungen gestellt.</t>
  </si>
  <si>
    <t>Jahresdosis</t>
  </si>
  <si>
    <t>Staubkonzentration</t>
  </si>
  <si>
    <t>mg/m³</t>
  </si>
  <si>
    <t>Staub</t>
  </si>
  <si>
    <t>Nasse Rückstände (z.B. Nassabsaugung) oder Staubmaske</t>
  </si>
  <si>
    <t>Trockene Rückstände und keine Staubmaske</t>
  </si>
  <si>
    <t>Staubschutz</t>
  </si>
  <si>
    <t>Nuklid</t>
  </si>
  <si>
    <t>DCF (µSv/Bq)</t>
  </si>
  <si>
    <t>Dosis (µSv/h)</t>
  </si>
  <si>
    <t>Spez. Akt. (Bq/g)</t>
  </si>
  <si>
    <t>Faktor 4 wurde berücksichtigt!</t>
  </si>
  <si>
    <t>Summe</t>
  </si>
  <si>
    <t>Staubexposition</t>
  </si>
  <si>
    <t>Ra-228 (muss mindestens angegeben werden)</t>
  </si>
  <si>
    <t>Messwerte d. spezifischen Aktivität einiger Nuklide im Rückstand</t>
  </si>
  <si>
    <t>Harze (keine Uranadsorber)</t>
  </si>
  <si>
    <t>Ra-228 (muss mindestens eingetragen werden)</t>
  </si>
  <si>
    <t>a</t>
  </si>
  <si>
    <t>Jahre</t>
  </si>
  <si>
    <t>Standzeit des Filter</t>
  </si>
  <si>
    <t>durchschnittl. m³ pro Jahr</t>
  </si>
  <si>
    <t>Standzeit</t>
  </si>
  <si>
    <t>m³/a</t>
  </si>
  <si>
    <t>Verhältnis Th-228/Ra-228</t>
  </si>
  <si>
    <t>lambda_Ra-228</t>
  </si>
  <si>
    <t>lambda_Th-228</t>
  </si>
  <si>
    <t>1/a</t>
  </si>
  <si>
    <t xml:space="preserve">Aus der Aktualisierung des Strahlenschutzrechts 2017/2018 ergibt sich für Wasserversorger die Notwendigkeit, Rückstände aus der Grundwasseraufbereitung bei deren Verwertung oder Beseitigung hinsichtlich der Überwachungsbedürftigkeit nach Strahlenschutzrecht zu bewerten. Dies betrifft die folgenden Rückstände aus der Aufbereitung von Grundwasser: 
• Kiese, Sande, 
• Harze (außer Uranadsorberharze) und 
• Kornaktivkohle.
Dieses Excel-Tool hilft Ihnen, die folgenden Fragen zu beantworten:
• Fällt das Material unter das Strahlenschutzrecht, d.h. ist es ein „Rückstand“ im Sinne des StrlSchG, und ist der Rückstand ggf. „überwachungsbedürftig“?
• Sind beim Transport des Rückstandes vom Wasserwerk bei der Entsorgung Regelungen des Strahlenschutzes zu beachten?
• In welcher Größenordnung kann die Strahlenbelastung (Dosis) für Beschäftigte beim Umgang mit dem Rückstand liegen und in welcher Relation steht diese mit der natürlichen Strahlenbelastung?
</t>
  </si>
  <si>
    <t>Zur Einordnung der strahlenschutzrechtlichen Überwachungsbedürftigkeit sind neben den radiologischen Eigenschaften noch Angaben zum geplanten Entsorgungsweg erforderlich. Wählen Sie deshalb im im unteren Teil des Tabellenblattes "Hauptmenü" die passende Option aus:
• Standardentsorgung (allgemeine Überwachungsgrenze 1 Bq/g),
• Deponierung &gt;5000 t/a im Einzugsbereich eines nutzbaren Grundwasserleiters,
• Zusetzen von &gt;50% zu Baustoffen z.B. auf Sport- und Spielplätzen,
• Untertägige Verwertung oder Deponierung.
Die Formulierungen sind aus Platzgründen leicht verkürzt wiedergegeben. Die genauen Formulierungen finden Sie in Anlage 5 der Strahlenschutzverordnung.
Ob es sich bei den Eingaben und ggf. zugrundegelegten Annahmen um Rückstände nach Strahlenschutzrecht handelt, ob diese ggf. überwachungsbedürftig sind und welche Schritte bei einer Entsorgung ergriffen werden sollten, sagen Ihnen die entsprechenden Anzeigen.
Darüber hinaus erfolgt eine orientierende Einschätzung, ob transportrechtliche Anforderungen für radioaktive Stoffe zu berücksichtigen sind. Hierzu ist die Tonnage eines LKW-Transports anzugeben.</t>
  </si>
  <si>
    <t>Spez. Aktivität Th-228</t>
  </si>
  <si>
    <t>Gamma Th-228 in 2Pi-Geometrie</t>
  </si>
  <si>
    <t>Aktivität Th-228</t>
  </si>
  <si>
    <t>Gamma Ra-228</t>
  </si>
  <si>
    <t>Gamma Th-228</t>
  </si>
  <si>
    <t>Berechnet H* Th-228</t>
  </si>
  <si>
    <t>Grenze H* Th-228</t>
  </si>
  <si>
    <t>Abgeschnitten H* Th-228</t>
  </si>
  <si>
    <t>Summe Ra-226 + Ra-228 + Th-228</t>
  </si>
  <si>
    <t>Schlauch Einheitsdosis Th-228, H*(10)</t>
  </si>
  <si>
    <t>Th-228 Einheitsdosis (eff.)</t>
  </si>
  <si>
    <t>Aufspaltung der NCC-Werte in Th-228 (0.05) und Ra-228 (0.03), so dass Summe 0.08 ist</t>
  </si>
  <si>
    <t>Aufspaltung im Verhältnis siehe oben auf Th-228 und Ra-228</t>
  </si>
  <si>
    <t>Th-228 Einheitsdosis</t>
  </si>
  <si>
    <t>Standardentsorgung (allgemeine Überwachungsgrenze)</t>
  </si>
  <si>
    <t>Am Behälter bzw. Big Bag (Kontaktmessung)</t>
  </si>
  <si>
    <t>Auf Oberfläche Filter/Haufwerk (1 m Höhe)</t>
  </si>
  <si>
    <t>Im Tabellenblatt "Dosisabschätzung" erfolgt eine überschlägige Abschätzung der Dosis der Beschäftigten beim Aufenthalt in der Nähe der Rückstände und bei typischen Arbeitsgängen im Wasserwerk.
Das Tool enthält die folgenden typisch anzutreffenden Arbeitsgänge:
• Aufenthalt in der Nähe von Rückständen, z.B. vor Behältern, Big Bags, Containern oder Haufwerken,
• Probenahme, Ausbau, Verladung oder sonstiges Handling von Rückständen, z.B. in Behältern, Big Bags, Containern, von Haufwerken, oder mittels Schaufeln oder Saugschlauch,
• LKW-Transport.
Um die Dosis abzuschätzen, sind in die gelben Zellen relevante Eingabegrößen wie 
• der Abstand des Beschäftigten von den Rückständen bei dem jeweiligen Arbeitsgang,
• die Staubkonzentration am Arbeitsplatz, 
• die Zeitdauer eines Arbeitsganges (Stunden pro Tag und Tage pro Jahr)
einzugeben. Die daraus überschlägig ermittelte effektive Jahresdosis wird für jeden Arbeitsgang angezeigt und im Diagramm mit der mittleren natürlichen Strahlenbelastung in Deutschland verglichen.</t>
  </si>
  <si>
    <t>Hinweis zu Radon: In Wasserwerken besteht häufig auch eine erhebliche Exposition der Beschäftigten durch Radon und Radonfolgeprodukte. Für Radon in der Innenraumluft wurden im Strahlenschutzgesetz und in der Strahlenschutzverordnung umfassende Regelungen getroffen. Es gilt ein Referenzwert von 300 Bq/m³ an Arbeitsplätzen. Hierzu wird auf die Regelungen in §§ 126-131 StrlSchG und §§ 155-158 StrlSchV verwiesen. Zur weiterführenden Information zu Problematik „Radon an Arbeitsplätzen in Wasserwerken“ wird auf eine gesonderte durch den DVGW geplante Veröffentlichung verwiesen: DVGW-Information Wasser Nr. 94: "Strahlenschutz bezüglich Radon für Mitarbeiter in Wasserversorgungsunternehmen".</t>
  </si>
  <si>
    <t>d</t>
  </si>
  <si>
    <t>Stehen nur Zahlen in Eingabespalte (keine Buchst./Sonderz. wie &lt;)?</t>
  </si>
  <si>
    <t>Erstbewertung möglich?</t>
  </si>
  <si>
    <t>Dosisabschätzung möglich?</t>
  </si>
  <si>
    <t>0: nein, 1: ja</t>
  </si>
  <si>
    <t>Datenlage</t>
  </si>
  <si>
    <t>Datenlage für Erstbewertung unzureichend.</t>
  </si>
  <si>
    <t>Datenlage für Dosisabschätzung unzureichend.</t>
  </si>
  <si>
    <t>Keine Bewertung möglich</t>
  </si>
  <si>
    <t>Aufgrund der innerhalb der U-238-Reihe relativ hohen spezifischen Aktivität von Pb-210 gilt eine modifizierte Summationsvorschrift für den Vergleich mit der Überwachungsgrenze (Anlage 5, Punkt 4 StrlSchV).</t>
  </si>
  <si>
    <t>Ausschrift je nach Ergebnis Dosisberechnung</t>
  </si>
  <si>
    <t>Hinweis: Aufgrund unzureichender Eingabedaten ist eine Dosiabschätzung nicht möglich.</t>
  </si>
  <si>
    <t>Hinweis: Bei Überschreitung einer effektiven Dosis von 1 mSv pro Kalenderjahr sind gemäß § 61 StrlSchG Strahlenschutzmaßnahmen zu ergreifen.</t>
  </si>
  <si>
    <t>Hinweis: Es liegen nicht ausreichend Eingabedaten vor, um eine Dosisabschätzung durchzuführen. Bitte ergänzen Sie die Eingaben.</t>
  </si>
  <si>
    <t>A</t>
  </si>
  <si>
    <t>Spez. Akt.</t>
  </si>
  <si>
    <t>V</t>
  </si>
  <si>
    <t>Aktivität</t>
  </si>
  <si>
    <t>RISO</t>
  </si>
  <si>
    <t>R/h pro Ci</t>
  </si>
  <si>
    <t>mSv/h pro MBq</t>
  </si>
  <si>
    <t>Bq/Ci</t>
  </si>
  <si>
    <t>Pb-214</t>
  </si>
  <si>
    <t>Gamma</t>
  </si>
  <si>
    <t>Sv/h pro Bq</t>
  </si>
  <si>
    <t>Bi-214</t>
  </si>
  <si>
    <t>Konsens</t>
  </si>
  <si>
    <t>Ra-228 (Ac-228)</t>
  </si>
  <si>
    <t>Th-228 (Tl-208)</t>
  </si>
  <si>
    <t>Ra-226 incl. DP</t>
  </si>
  <si>
    <t>Ac-228</t>
  </si>
  <si>
    <t>Tl-208</t>
  </si>
  <si>
    <t>µSv/h pro Bq pro 1/m²</t>
  </si>
  <si>
    <t>µSv/h pro 1/m²</t>
  </si>
  <si>
    <t>H_Kugel</t>
  </si>
  <si>
    <t>H_2Pi</t>
  </si>
  <si>
    <t>g/m²</t>
  </si>
  <si>
    <t>Pa-234</t>
  </si>
  <si>
    <t>Gamma-Koeffizienten</t>
  </si>
  <si>
    <t>Nebenrechnung zu Abstandsgesetz und Gammakoeffizienten</t>
  </si>
  <si>
    <t>Schlauch Einheitsdosis Ra-228, H*(10)</t>
  </si>
  <si>
    <t>Geltende Überwachungsgrenze (in Bq/g)</t>
  </si>
  <si>
    <t>Summe R x C(U-238max) + C(Th-232max) (s. Anl. 5 StrlSchV, in Bq/g)</t>
  </si>
  <si>
    <t>Dosisleistung durch Gammastrahlung</t>
  </si>
  <si>
    <t>Dosisleistung durch Staub</t>
  </si>
  <si>
    <t>Hinweis: In der Eingabeoption "Rohwasserdaten" ist eine Dosisberechnung nicht möglich. Bitte konsultieren Sie das Begleitheft.</t>
  </si>
  <si>
    <r>
      <t xml:space="preserve">Zur Beantwortung der Fragen werden Informationen zu den Rückständen benötigt, die Sie je nach verfügbarer Datenlage im Tabellenblatt „Hauptmenü“ eingeben können. 
Wählen Sie aus den Menüs den Typ des Rückstandes sowie die Option aus, die der bei Ihnen vorhandenen Datenlage entspricht:
</t>
    </r>
    <r>
      <rPr>
        <b/>
        <sz val="11"/>
        <color theme="1"/>
        <rFont val="Calibri"/>
        <family val="2"/>
        <scheme val="minor"/>
      </rPr>
      <t>Option 1</t>
    </r>
    <r>
      <rPr>
        <sz val="11"/>
        <color theme="1"/>
        <rFont val="Calibri"/>
        <family val="2"/>
        <scheme val="minor"/>
      </rPr>
      <t xml:space="preserve">: Von dem Rückstand liegen Messwerte der spezifischen Aktivität von allen relevanten Radionukliden aus einer Laboranalyse vor
</t>
    </r>
    <r>
      <rPr>
        <b/>
        <sz val="11"/>
        <color theme="1"/>
        <rFont val="Calibri"/>
        <family val="2"/>
        <scheme val="minor"/>
      </rPr>
      <t>Option 2:</t>
    </r>
    <r>
      <rPr>
        <sz val="11"/>
        <color theme="1"/>
        <rFont val="Calibri"/>
        <family val="2"/>
        <scheme val="minor"/>
      </rPr>
      <t xml:space="preserve"> Es liegen Messwerte für den Rückstand von einigen, aber nicht allen Nuklide vor
</t>
    </r>
    <r>
      <rPr>
        <b/>
        <sz val="11"/>
        <color theme="1"/>
        <rFont val="Calibri"/>
        <family val="2"/>
        <scheme val="minor"/>
      </rPr>
      <t>Option 3:</t>
    </r>
    <r>
      <rPr>
        <sz val="11"/>
        <color theme="1"/>
        <rFont val="Calibri"/>
        <family val="2"/>
        <scheme val="minor"/>
      </rPr>
      <t xml:space="preserve"> Von dem Rückstand liegen Messwerte der Gammastrahlung vor
</t>
    </r>
    <r>
      <rPr>
        <b/>
        <sz val="11"/>
        <color theme="1"/>
        <rFont val="Calibri"/>
        <family val="2"/>
        <scheme val="minor"/>
      </rPr>
      <t>Option 4:</t>
    </r>
    <r>
      <rPr>
        <sz val="11"/>
        <color theme="1"/>
        <rFont val="Calibri"/>
        <family val="2"/>
        <scheme val="minor"/>
      </rPr>
      <t xml:space="preserve"> Es liegen Messwerte der Radioaktivität im Rohwasser vor (keine Dosisabschätzung möglich)
Danach tragen Sie in die Eingabemaske die verfügbaren Daten ein. Gelbe Felder dienen der Dateneingabe.
Bei unvollständiger Datenlage ergänzt das Excel-Tool fehlende Eingaben nach Erfahrungs- und Literaturwerten. Die ergänzten radiologischen Eigenschaften des Rückstandes sehen Sie in der Tabelle rechts im Eingabebereich. Die Annahmen und darauf aufbauenden Ergebnisse können von der Realität im konkreten Einzelfall abweichen.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</si>
</sst>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
    <numFmt numFmtId="166" formatCode="0.0E+00"/>
    <numFmt numFmtId="167" formatCode="0.0000"/>
    <numFmt numFmtId="168" formatCode="0.0000E+00"/>
  </numFmts>
  <fonts count="8"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9"/>
      <color theme="1"/>
      <name val="Calibri"/>
      <family val="2"/>
      <scheme val="minor"/>
    </font>
    <font>
      <b/>
      <sz val="14"/>
      <color theme="1"/>
      <name val="Calibri"/>
      <family val="2"/>
      <scheme val="minor"/>
    </font>
    <font>
      <b/>
      <sz val="16"/>
      <color theme="1"/>
      <name val="Calibri"/>
      <family val="2"/>
      <scheme val="minor"/>
    </font>
    <font>
      <b/>
      <sz val="10"/>
      <color theme="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2"/>
        <bgColor indexed="64"/>
      </patternFill>
    </fill>
    <fill>
      <patternFill patternType="solid">
        <fgColor rgb="FFFFC00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7" tint="0.59999389629810485"/>
        <bgColor indexed="64"/>
      </patternFill>
    </fill>
    <fill>
      <patternFill patternType="solid">
        <fgColor theme="5" tint="0.59999389629810485"/>
        <bgColor indexed="64"/>
      </patternFill>
    </fill>
  </fills>
  <borders count="104">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ck">
        <color theme="9" tint="-0.249977111117893"/>
      </left>
      <right/>
      <top style="thick">
        <color theme="9" tint="-0.249977111117893"/>
      </top>
      <bottom/>
      <diagonal/>
    </border>
    <border>
      <left/>
      <right/>
      <top style="thick">
        <color theme="9" tint="-0.249977111117893"/>
      </top>
      <bottom/>
      <diagonal/>
    </border>
    <border>
      <left/>
      <right style="thick">
        <color theme="9" tint="-0.249977111117893"/>
      </right>
      <top style="thick">
        <color theme="9" tint="-0.249977111117893"/>
      </top>
      <bottom/>
      <diagonal/>
    </border>
    <border>
      <left style="thick">
        <color theme="9" tint="-0.249977111117893"/>
      </left>
      <right/>
      <top/>
      <bottom/>
      <diagonal/>
    </border>
    <border>
      <left/>
      <right style="thick">
        <color theme="9" tint="-0.249977111117893"/>
      </right>
      <top/>
      <bottom/>
      <diagonal/>
    </border>
    <border>
      <left style="thick">
        <color theme="9" tint="-0.249977111117893"/>
      </left>
      <right/>
      <top/>
      <bottom style="medium">
        <color indexed="64"/>
      </bottom>
      <diagonal/>
    </border>
    <border>
      <left style="thick">
        <color theme="9" tint="-0.249977111117893"/>
      </left>
      <right/>
      <top/>
      <bottom style="thick">
        <color theme="9" tint="-0.249977111117893"/>
      </bottom>
      <diagonal/>
    </border>
    <border>
      <left/>
      <right/>
      <top/>
      <bottom style="thick">
        <color theme="9" tint="-0.249977111117893"/>
      </bottom>
      <diagonal/>
    </border>
    <border>
      <left/>
      <right style="thick">
        <color theme="9" tint="-0.249977111117893"/>
      </right>
      <top/>
      <bottom style="thick">
        <color theme="9" tint="-0.249977111117893"/>
      </bottom>
      <diagonal/>
    </border>
    <border>
      <left style="thin">
        <color indexed="64"/>
      </left>
      <right style="thick">
        <color theme="9" tint="-0.249977111117893"/>
      </right>
      <top style="thin">
        <color indexed="64"/>
      </top>
      <bottom style="thin">
        <color indexed="64"/>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thin">
        <color rgb="FFFFC000"/>
      </bottom>
      <diagonal/>
    </border>
    <border>
      <left style="thick">
        <color rgb="FFFFC000"/>
      </left>
      <right style="thick">
        <color rgb="FFFFC000"/>
      </right>
      <top/>
      <bottom/>
      <diagonal/>
    </border>
    <border>
      <left style="medium">
        <color theme="9" tint="-0.249977111117893"/>
      </left>
      <right style="thin">
        <color indexed="64"/>
      </right>
      <top style="medium">
        <color theme="9" tint="-0.249977111117893"/>
      </top>
      <bottom style="thin">
        <color indexed="64"/>
      </bottom>
      <diagonal/>
    </border>
    <border>
      <left style="thin">
        <color indexed="64"/>
      </left>
      <right style="thin">
        <color indexed="64"/>
      </right>
      <top style="medium">
        <color theme="9" tint="-0.249977111117893"/>
      </top>
      <bottom style="thin">
        <color indexed="64"/>
      </bottom>
      <diagonal/>
    </border>
    <border>
      <left style="thin">
        <color indexed="64"/>
      </left>
      <right style="medium">
        <color theme="9" tint="-0.249977111117893"/>
      </right>
      <top style="medium">
        <color theme="9" tint="-0.249977111117893"/>
      </top>
      <bottom style="thin">
        <color indexed="64"/>
      </bottom>
      <diagonal/>
    </border>
    <border>
      <left style="medium">
        <color theme="9" tint="-0.249977111117893"/>
      </left>
      <right style="thin">
        <color indexed="64"/>
      </right>
      <top style="thin">
        <color indexed="64"/>
      </top>
      <bottom style="thin">
        <color indexed="64"/>
      </bottom>
      <diagonal/>
    </border>
    <border>
      <left style="thin">
        <color indexed="64"/>
      </left>
      <right style="medium">
        <color theme="9" tint="-0.249977111117893"/>
      </right>
      <top style="thin">
        <color indexed="64"/>
      </top>
      <bottom style="thin">
        <color indexed="64"/>
      </bottom>
      <diagonal/>
    </border>
    <border>
      <left style="medium">
        <color theme="9" tint="-0.249977111117893"/>
      </left>
      <right style="thin">
        <color indexed="64"/>
      </right>
      <top style="thin">
        <color indexed="64"/>
      </top>
      <bottom style="medium">
        <color theme="9" tint="-0.249977111117893"/>
      </bottom>
      <diagonal/>
    </border>
    <border>
      <left style="thin">
        <color indexed="64"/>
      </left>
      <right style="thin">
        <color indexed="64"/>
      </right>
      <top style="thin">
        <color indexed="64"/>
      </top>
      <bottom style="medium">
        <color theme="9" tint="-0.249977111117893"/>
      </bottom>
      <diagonal/>
    </border>
    <border>
      <left style="thin">
        <color indexed="64"/>
      </left>
      <right style="medium">
        <color theme="9" tint="-0.249977111117893"/>
      </right>
      <top style="thin">
        <color indexed="64"/>
      </top>
      <bottom style="medium">
        <color theme="9" tint="-0.249977111117893"/>
      </bottom>
      <diagonal/>
    </border>
    <border>
      <left style="thick">
        <color theme="9" tint="-0.249977111117893"/>
      </left>
      <right style="thick">
        <color theme="9" tint="-0.249977111117893"/>
      </right>
      <top style="thick">
        <color theme="9" tint="-0.249977111117893"/>
      </top>
      <bottom style="thin">
        <color indexed="64"/>
      </bottom>
      <diagonal/>
    </border>
    <border>
      <left style="thick">
        <color theme="9" tint="-0.249977111117893"/>
      </left>
      <right style="thick">
        <color theme="9" tint="-0.249977111117893"/>
      </right>
      <top style="thin">
        <color indexed="64"/>
      </top>
      <bottom style="thick">
        <color theme="9" tint="-0.249977111117893"/>
      </bottom>
      <diagonal/>
    </border>
    <border>
      <left style="thick">
        <color theme="9" tint="-0.249977111117893"/>
      </left>
      <right style="thick">
        <color theme="9" tint="-0.249977111117893"/>
      </right>
      <top style="thin">
        <color indexed="64"/>
      </top>
      <bottom/>
      <diagonal/>
    </border>
    <border>
      <left style="thick">
        <color theme="9" tint="-0.249977111117893"/>
      </left>
      <right style="thick">
        <color theme="9" tint="-0.249977111117893"/>
      </right>
      <top style="thin">
        <color indexed="64"/>
      </top>
      <bottom style="thin">
        <color indexed="64"/>
      </bottom>
      <diagonal/>
    </border>
    <border>
      <left/>
      <right/>
      <top/>
      <bottom style="thin">
        <color indexed="64"/>
      </bottom>
      <diagonal/>
    </border>
    <border>
      <left/>
      <right style="thick">
        <color theme="9" tint="-0.249977111117893"/>
      </right>
      <top style="thin">
        <color indexed="64"/>
      </top>
      <bottom/>
      <diagonal/>
    </border>
    <border>
      <left/>
      <right style="thick">
        <color theme="9" tint="-0.249977111117893"/>
      </right>
      <top style="thin">
        <color indexed="64"/>
      </top>
      <bottom style="thin">
        <color indexed="64"/>
      </bottom>
      <diagonal/>
    </border>
    <border>
      <left/>
      <right style="thick">
        <color theme="9" tint="-0.249977111117893"/>
      </right>
      <top/>
      <bottom style="thin">
        <color indexed="64"/>
      </bottom>
      <diagonal/>
    </border>
    <border>
      <left/>
      <right style="thick">
        <color theme="9" tint="-0.249977111117893"/>
      </right>
      <top style="thick">
        <color theme="9" tint="-0.249977111117893"/>
      </top>
      <bottom style="thin">
        <color indexed="64"/>
      </bottom>
      <diagonal/>
    </border>
    <border>
      <left/>
      <right style="thick">
        <color theme="9" tint="-0.249977111117893"/>
      </right>
      <top style="thin">
        <color indexed="64"/>
      </top>
      <bottom style="thick">
        <color theme="9" tint="-0.249977111117893"/>
      </bottom>
      <diagonal/>
    </border>
    <border>
      <left style="thick">
        <color theme="9" tint="-0.249977111117893"/>
      </left>
      <right style="thick">
        <color rgb="FFFFC000"/>
      </right>
      <top style="thick">
        <color theme="9" tint="-0.249977111117893"/>
      </top>
      <bottom style="thin">
        <color indexed="64"/>
      </bottom>
      <diagonal/>
    </border>
    <border>
      <left style="thick">
        <color theme="9" tint="-0.249977111117893"/>
      </left>
      <right style="thick">
        <color rgb="FFFFC000"/>
      </right>
      <top style="thin">
        <color indexed="64"/>
      </top>
      <bottom style="thin">
        <color indexed="64"/>
      </bottom>
      <diagonal/>
    </border>
    <border>
      <left style="thick">
        <color theme="9" tint="-0.249977111117893"/>
      </left>
      <right style="thick">
        <color rgb="FFFFC000"/>
      </right>
      <top style="thin">
        <color indexed="64"/>
      </top>
      <bottom style="thick">
        <color theme="9" tint="-0.249977111117893"/>
      </bottom>
      <diagonal/>
    </border>
    <border>
      <left style="thick">
        <color rgb="FFFFC000"/>
      </left>
      <right style="thick">
        <color rgb="FFFFC000"/>
      </right>
      <top style="thick">
        <color theme="9" tint="-0.249977111117893"/>
      </top>
      <bottom style="thin">
        <color indexed="64"/>
      </bottom>
      <diagonal/>
    </border>
    <border>
      <left style="thick">
        <color rgb="FFFFC000"/>
      </left>
      <right style="thick">
        <color rgb="FFFFC000"/>
      </right>
      <top style="thin">
        <color indexed="64"/>
      </top>
      <bottom/>
      <diagonal/>
    </border>
    <border>
      <left style="thick">
        <color rgb="FFFFC000"/>
      </left>
      <right style="thick">
        <color rgb="FFFFC000"/>
      </right>
      <top style="thin">
        <color indexed="64"/>
      </top>
      <bottom style="thin">
        <color indexed="64"/>
      </bottom>
      <diagonal/>
    </border>
    <border>
      <left style="thick">
        <color rgb="FFFFC000"/>
      </left>
      <right style="thick">
        <color rgb="FFFFC000"/>
      </right>
      <top style="thin">
        <color indexed="64"/>
      </top>
      <bottom style="thick">
        <color theme="9" tint="-0.249977111117893"/>
      </bottom>
      <diagonal/>
    </border>
    <border>
      <left/>
      <right style="thin">
        <color indexed="64"/>
      </right>
      <top style="thin">
        <color indexed="64"/>
      </top>
      <bottom style="thin">
        <color indexed="64"/>
      </bottom>
      <diagonal/>
    </border>
    <border>
      <left style="thick">
        <color theme="9" tint="-0.249977111117893"/>
      </left>
      <right style="thick">
        <color theme="9" tint="-0.249977111117893"/>
      </right>
      <top style="thick">
        <color theme="9" tint="-0.249977111117893"/>
      </top>
      <bottom style="thick">
        <color theme="9" tint="-0.249977111117893"/>
      </bottom>
      <diagonal/>
    </border>
    <border>
      <left/>
      <right/>
      <top style="thick">
        <color theme="9" tint="-0.249977111117893"/>
      </top>
      <bottom style="thick">
        <color theme="9" tint="-0.249977111117893"/>
      </bottom>
      <diagonal/>
    </border>
    <border>
      <left/>
      <right style="thick">
        <color theme="9" tint="-0.249977111117893"/>
      </right>
      <top style="thick">
        <color theme="9" tint="-0.249977111117893"/>
      </top>
      <bottom style="thick">
        <color theme="9" tint="-0.249977111117893"/>
      </bottom>
      <diagonal/>
    </border>
    <border>
      <left/>
      <right style="thick">
        <color theme="9" tint="-0.249977111117893"/>
      </right>
      <top style="thick">
        <color theme="9" tint="-0.249977111117893"/>
      </top>
      <bottom style="medium">
        <color indexed="64"/>
      </bottom>
      <diagonal/>
    </border>
    <border>
      <left style="thick">
        <color theme="9" tint="-0.249977111117893"/>
      </left>
      <right/>
      <top style="thick">
        <color theme="9" tint="-0.249977111117893"/>
      </top>
      <bottom style="thick">
        <color theme="9" tint="-0.249977111117893"/>
      </bottom>
      <diagonal/>
    </border>
    <border>
      <left style="thick">
        <color theme="9" tint="-0.249977111117893"/>
      </left>
      <right/>
      <top style="thick">
        <color theme="9" tint="-0.249977111117893"/>
      </top>
      <bottom style="thin">
        <color indexed="64"/>
      </bottom>
      <diagonal/>
    </border>
    <border>
      <left/>
      <right/>
      <top style="thick">
        <color theme="9" tint="-0.249977111117893"/>
      </top>
      <bottom style="thin">
        <color indexed="64"/>
      </bottom>
      <diagonal/>
    </border>
    <border>
      <left style="thin">
        <color indexed="64"/>
      </left>
      <right style="thin">
        <color indexed="64"/>
      </right>
      <top style="medium">
        <color indexed="64"/>
      </top>
      <bottom style="medium">
        <color indexed="64"/>
      </bottom>
      <diagonal/>
    </border>
    <border>
      <left style="medium">
        <color theme="9" tint="-0.249977111117893"/>
      </left>
      <right style="thin">
        <color indexed="64"/>
      </right>
      <top/>
      <bottom/>
      <diagonal/>
    </border>
    <border>
      <left style="thin">
        <color indexed="64"/>
      </left>
      <right style="thin">
        <color indexed="64"/>
      </right>
      <top/>
      <bottom/>
      <diagonal/>
    </border>
    <border>
      <left style="thick">
        <color theme="9" tint="-0.249977111117893"/>
      </left>
      <right/>
      <top style="thin">
        <color indexed="64"/>
      </top>
      <bottom style="thick">
        <color theme="9" tint="-0.249977111117893"/>
      </bottom>
      <diagonal/>
    </border>
    <border>
      <left/>
      <right/>
      <top style="thin">
        <color indexed="64"/>
      </top>
      <bottom style="thick">
        <color theme="9" tint="-0.249977111117893"/>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style="medium">
        <color theme="9" tint="-0.249977111117893"/>
      </left>
      <right/>
      <top style="medium">
        <color theme="9" tint="-0.249977111117893"/>
      </top>
      <bottom/>
      <diagonal/>
    </border>
    <border>
      <left/>
      <right/>
      <top style="medium">
        <color theme="9" tint="-0.249977111117893"/>
      </top>
      <bottom/>
      <diagonal/>
    </border>
    <border>
      <left style="medium">
        <color theme="9" tint="-0.249977111117893"/>
      </left>
      <right/>
      <top style="thin">
        <color indexed="64"/>
      </top>
      <bottom style="thin">
        <color indexed="64"/>
      </bottom>
      <diagonal/>
    </border>
    <border>
      <left style="thin">
        <color indexed="64"/>
      </left>
      <right style="medium">
        <color theme="9" tint="-0.249977111117893"/>
      </right>
      <top style="thin">
        <color indexed="64"/>
      </top>
      <bottom/>
      <diagonal/>
    </border>
    <border>
      <left style="thin">
        <color indexed="64"/>
      </left>
      <right style="thin">
        <color indexed="64"/>
      </right>
      <top/>
      <bottom style="thin">
        <color indexed="64"/>
      </bottom>
      <diagonal/>
    </border>
    <border>
      <left style="thin">
        <color indexed="64"/>
      </left>
      <right style="medium">
        <color theme="9" tint="-0.249977111117893"/>
      </right>
      <top/>
      <bottom style="thin">
        <color indexed="64"/>
      </bottom>
      <diagonal/>
    </border>
    <border>
      <left/>
      <right style="medium">
        <color theme="9" tint="-0.249977111117893"/>
      </right>
      <top/>
      <bottom/>
      <diagonal/>
    </border>
    <border>
      <left style="thick">
        <color theme="9" tint="-0.249977111117893"/>
      </left>
      <right/>
      <top style="thin">
        <color indexed="64"/>
      </top>
      <bottom/>
      <diagonal/>
    </border>
    <border>
      <left/>
      <right/>
      <top style="thin">
        <color indexed="64"/>
      </top>
      <bottom/>
      <diagonal/>
    </border>
    <border>
      <left/>
      <right style="thick">
        <color theme="9" tint="-0.249977111117893"/>
      </right>
      <top style="medium">
        <color theme="9" tint="-0.249977111117893"/>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323">
    <xf numFmtId="0" fontId="0" fillId="0" borderId="0" xfId="0"/>
    <xf numFmtId="0" fontId="0" fillId="3" borderId="0" xfId="0" applyFill="1"/>
    <xf numFmtId="164" fontId="0" fillId="3" borderId="0" xfId="0" applyNumberFormat="1" applyFill="1"/>
    <xf numFmtId="2" fontId="0" fillId="3" borderId="0" xfId="0" applyNumberFormat="1"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7" xfId="0" applyBorder="1"/>
    <xf numFmtId="0" fontId="0" fillId="0" borderId="8" xfId="0" applyBorder="1"/>
    <xf numFmtId="0" fontId="0" fillId="0" borderId="6" xfId="0" applyBorder="1"/>
    <xf numFmtId="0" fontId="0" fillId="0" borderId="9" xfId="0" applyBorder="1"/>
    <xf numFmtId="0" fontId="0" fillId="0" borderId="10" xfId="0" applyBorder="1"/>
    <xf numFmtId="2" fontId="0" fillId="0" borderId="11" xfId="0" applyNumberFormat="1" applyBorder="1"/>
    <xf numFmtId="0" fontId="0" fillId="0" borderId="12" xfId="0" applyBorder="1"/>
    <xf numFmtId="0" fontId="0" fillId="0" borderId="11" xfId="0" applyBorder="1"/>
    <xf numFmtId="0" fontId="0" fillId="0" borderId="13" xfId="0" applyBorder="1"/>
    <xf numFmtId="0" fontId="0" fillId="0" borderId="15" xfId="0" applyBorder="1"/>
    <xf numFmtId="0" fontId="0" fillId="0" borderId="16" xfId="0" applyBorder="1"/>
    <xf numFmtId="0" fontId="0" fillId="0" borderId="17" xfId="0" applyBorder="1"/>
    <xf numFmtId="2" fontId="0" fillId="0" borderId="13" xfId="0" applyNumberFormat="1"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164" fontId="0" fillId="0" borderId="11" xfId="0" applyNumberFormat="1" applyBorder="1"/>
    <xf numFmtId="164" fontId="0" fillId="0" borderId="12" xfId="0" applyNumberFormat="1" applyBorder="1"/>
    <xf numFmtId="164" fontId="0" fillId="0" borderId="23" xfId="0" applyNumberFormat="1" applyBorder="1"/>
    <xf numFmtId="164" fontId="0" fillId="0" borderId="24" xfId="0" applyNumberFormat="1" applyBorder="1"/>
    <xf numFmtId="2" fontId="0" fillId="0" borderId="25" xfId="0" applyNumberFormat="1" applyBorder="1"/>
    <xf numFmtId="2" fontId="0" fillId="0" borderId="26" xfId="0" applyNumberFormat="1" applyBorder="1"/>
    <xf numFmtId="164" fontId="0" fillId="3" borderId="26" xfId="0" applyNumberFormat="1" applyFill="1" applyBorder="1"/>
    <xf numFmtId="0" fontId="2" fillId="0" borderId="0" xfId="0" applyFont="1"/>
    <xf numFmtId="165" fontId="0" fillId="0" borderId="6" xfId="0" applyNumberFormat="1" applyBorder="1"/>
    <xf numFmtId="165" fontId="0" fillId="0" borderId="21" xfId="0" applyNumberFormat="1" applyBorder="1"/>
    <xf numFmtId="0" fontId="0" fillId="0" borderId="14" xfId="0" applyBorder="1"/>
    <xf numFmtId="0" fontId="0" fillId="0" borderId="23" xfId="0" applyBorder="1"/>
    <xf numFmtId="0" fontId="0" fillId="0" borderId="27" xfId="0" applyBorder="1"/>
    <xf numFmtId="165" fontId="0" fillId="0" borderId="27" xfId="0" applyNumberFormat="1" applyBorder="1"/>
    <xf numFmtId="0" fontId="0" fillId="0" borderId="24" xfId="0" applyBorder="1"/>
    <xf numFmtId="165" fontId="0" fillId="3" borderId="6" xfId="0" applyNumberFormat="1" applyFill="1" applyBorder="1"/>
    <xf numFmtId="165" fontId="0" fillId="3" borderId="21" xfId="0" applyNumberFormat="1" applyFill="1" applyBorder="1"/>
    <xf numFmtId="165" fontId="0" fillId="3" borderId="22" xfId="0" applyNumberFormat="1" applyFill="1" applyBorder="1"/>
    <xf numFmtId="0" fontId="0" fillId="0" borderId="28" xfId="0" applyBorder="1"/>
    <xf numFmtId="0" fontId="0" fillId="0" borderId="0" xfId="0" applyFill="1" applyBorder="1"/>
    <xf numFmtId="0" fontId="0" fillId="0" borderId="5" xfId="0" applyBorder="1"/>
    <xf numFmtId="0" fontId="0" fillId="0" borderId="30" xfId="0" applyBorder="1"/>
    <xf numFmtId="0" fontId="0" fillId="0" borderId="31" xfId="0" applyBorder="1"/>
    <xf numFmtId="0" fontId="0" fillId="0" borderId="32" xfId="0" applyBorder="1"/>
    <xf numFmtId="0" fontId="0" fillId="0" borderId="33" xfId="0" applyBorder="1"/>
    <xf numFmtId="165" fontId="0" fillId="0" borderId="11" xfId="0" applyNumberFormat="1" applyBorder="1"/>
    <xf numFmtId="165" fontId="0" fillId="0" borderId="22" xfId="0" applyNumberFormat="1" applyBorder="1"/>
    <xf numFmtId="165" fontId="0" fillId="0" borderId="14" xfId="0" applyNumberFormat="1" applyBorder="1"/>
    <xf numFmtId="0" fontId="0" fillId="3" borderId="29" xfId="0" applyFill="1" applyBorder="1"/>
    <xf numFmtId="166" fontId="0" fillId="0" borderId="8" xfId="0" applyNumberFormat="1" applyBorder="1"/>
    <xf numFmtId="11" fontId="0" fillId="0" borderId="0" xfId="0" applyNumberFormat="1" applyBorder="1"/>
    <xf numFmtId="166" fontId="0" fillId="0" borderId="0" xfId="0" applyNumberFormat="1" applyBorder="1"/>
    <xf numFmtId="166" fontId="0" fillId="0" borderId="7" xfId="0" applyNumberFormat="1" applyBorder="1"/>
    <xf numFmtId="164" fontId="0" fillId="3" borderId="0" xfId="0" applyNumberFormat="1" applyFill="1" applyBorder="1"/>
    <xf numFmtId="164" fontId="0" fillId="3" borderId="7" xfId="0" applyNumberFormat="1" applyFill="1" applyBorder="1"/>
    <xf numFmtId="0" fontId="0" fillId="3" borderId="0" xfId="0" applyFill="1" applyBorder="1"/>
    <xf numFmtId="0" fontId="0" fillId="3" borderId="7" xfId="0" applyFill="1" applyBorder="1"/>
    <xf numFmtId="2" fontId="3" fillId="0" borderId="8" xfId="0" applyNumberFormat="1" applyFont="1" applyBorder="1"/>
    <xf numFmtId="2" fontId="3" fillId="0" borderId="0" xfId="0" applyNumberFormat="1" applyFont="1" applyBorder="1"/>
    <xf numFmtId="164" fontId="3" fillId="3" borderId="8" xfId="0" applyNumberFormat="1" applyFont="1" applyFill="1" applyBorder="1"/>
    <xf numFmtId="0" fontId="2" fillId="0" borderId="1" xfId="0" applyFont="1" applyBorder="1"/>
    <xf numFmtId="11" fontId="0" fillId="0" borderId="0" xfId="0" applyNumberFormat="1"/>
    <xf numFmtId="0" fontId="0" fillId="0" borderId="2" xfId="0" applyFont="1" applyBorder="1"/>
    <xf numFmtId="0" fontId="0" fillId="0" borderId="44" xfId="0" applyFill="1" applyBorder="1"/>
    <xf numFmtId="0" fontId="0" fillId="0" borderId="46" xfId="0" applyBorder="1"/>
    <xf numFmtId="0" fontId="0" fillId="2" borderId="38" xfId="0" applyFill="1" applyBorder="1" applyAlignment="1" applyProtection="1">
      <alignment horizontal="center"/>
      <protection locked="0"/>
    </xf>
    <xf numFmtId="0" fontId="0" fillId="2" borderId="62" xfId="0" applyFill="1" applyBorder="1" applyAlignment="1" applyProtection="1">
      <alignment horizontal="center"/>
      <protection locked="0"/>
    </xf>
    <xf numFmtId="0" fontId="0" fillId="2" borderId="63" xfId="0" applyFill="1" applyBorder="1" applyAlignment="1" applyProtection="1">
      <alignment horizontal="center"/>
      <protection locked="0"/>
    </xf>
    <xf numFmtId="0" fontId="0" fillId="2" borderId="66" xfId="0" applyFill="1" applyBorder="1" applyAlignment="1" applyProtection="1">
      <alignment horizontal="center"/>
      <protection locked="0"/>
    </xf>
    <xf numFmtId="0" fontId="0" fillId="2" borderId="78" xfId="0" applyFill="1" applyBorder="1" applyAlignment="1" applyProtection="1">
      <alignment horizontal="center"/>
      <protection locked="0"/>
    </xf>
    <xf numFmtId="0" fontId="0" fillId="2" borderId="48" xfId="0" applyFill="1" applyBorder="1" applyAlignment="1" applyProtection="1">
      <alignment horizontal="center"/>
      <protection locked="0"/>
    </xf>
    <xf numFmtId="0" fontId="0" fillId="2" borderId="71" xfId="0" applyFill="1" applyBorder="1" applyAlignment="1" applyProtection="1">
      <alignment horizontal="center"/>
      <protection locked="0"/>
    </xf>
    <xf numFmtId="0" fontId="0" fillId="2" borderId="72" xfId="0" applyFill="1" applyBorder="1" applyAlignment="1" applyProtection="1">
      <alignment horizontal="center"/>
      <protection locked="0"/>
    </xf>
    <xf numFmtId="0" fontId="0" fillId="2" borderId="73" xfId="0" applyFill="1" applyBorder="1" applyAlignment="1" applyProtection="1">
      <alignment horizontal="center"/>
      <protection locked="0"/>
    </xf>
    <xf numFmtId="0" fontId="0" fillId="2" borderId="21" xfId="0" applyFill="1" applyBorder="1" applyProtection="1">
      <protection locked="0"/>
    </xf>
    <xf numFmtId="0" fontId="0" fillId="2" borderId="22" xfId="0" applyFill="1" applyBorder="1" applyProtection="1">
      <protection locked="0"/>
    </xf>
    <xf numFmtId="0" fontId="0" fillId="3" borderId="30" xfId="0" applyFill="1" applyBorder="1"/>
    <xf numFmtId="0" fontId="0" fillId="2" borderId="9" xfId="0" applyFill="1" applyBorder="1" applyProtection="1">
      <protection locked="0"/>
    </xf>
    <xf numFmtId="0" fontId="0" fillId="2" borderId="13" xfId="0" applyFill="1" applyBorder="1" applyProtection="1">
      <protection locked="0"/>
    </xf>
    <xf numFmtId="0" fontId="0" fillId="0" borderId="32" xfId="0" applyBorder="1" applyAlignment="1">
      <alignment horizontal="center"/>
    </xf>
    <xf numFmtId="167" fontId="0" fillId="3" borderId="33" xfId="0" applyNumberFormat="1" applyFill="1" applyBorder="1"/>
    <xf numFmtId="167" fontId="2" fillId="3" borderId="31" xfId="0" applyNumberFormat="1" applyFont="1" applyFill="1" applyBorder="1"/>
    <xf numFmtId="2" fontId="0" fillId="3" borderId="7" xfId="0" applyNumberFormat="1" applyFill="1" applyBorder="1"/>
    <xf numFmtId="167" fontId="0" fillId="3" borderId="0" xfId="0" applyNumberFormat="1" applyFill="1" applyBorder="1"/>
    <xf numFmtId="0" fontId="0" fillId="3" borderId="45" xfId="0" applyNumberFormat="1" applyFill="1" applyBorder="1"/>
    <xf numFmtId="0" fontId="0" fillId="2" borderId="82" xfId="0" applyFill="1" applyBorder="1" applyProtection="1">
      <protection locked="0"/>
    </xf>
    <xf numFmtId="0" fontId="3" fillId="2" borderId="22" xfId="0" applyFont="1" applyFill="1" applyBorder="1" applyProtection="1">
      <protection locked="0"/>
    </xf>
    <xf numFmtId="0" fontId="0" fillId="0" borderId="87" xfId="0" applyBorder="1"/>
    <xf numFmtId="0" fontId="0" fillId="0" borderId="88" xfId="0" applyBorder="1"/>
    <xf numFmtId="0" fontId="0" fillId="0" borderId="89" xfId="0" applyBorder="1"/>
    <xf numFmtId="0" fontId="0" fillId="0" borderId="29" xfId="0" applyFill="1" applyBorder="1"/>
    <xf numFmtId="166" fontId="0" fillId="0" borderId="0" xfId="0" applyNumberFormat="1"/>
    <xf numFmtId="168" fontId="0" fillId="0" borderId="0" xfId="0" applyNumberFormat="1"/>
    <xf numFmtId="0" fontId="0" fillId="0" borderId="101" xfId="0" applyBorder="1"/>
    <xf numFmtId="11" fontId="0" fillId="0" borderId="101" xfId="0" applyNumberFormat="1" applyBorder="1"/>
    <xf numFmtId="164" fontId="0" fillId="0" borderId="101" xfId="0" applyNumberFormat="1" applyBorder="1"/>
    <xf numFmtId="165" fontId="0" fillId="0" borderId="101" xfId="0" applyNumberFormat="1" applyBorder="1"/>
    <xf numFmtId="166" fontId="0" fillId="0" borderId="101" xfId="0" applyNumberFormat="1" applyBorder="1"/>
    <xf numFmtId="0" fontId="3" fillId="0" borderId="0" xfId="0" applyFont="1" applyFill="1" applyBorder="1"/>
    <xf numFmtId="0" fontId="0" fillId="2" borderId="21"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1" fillId="0" borderId="0" xfId="0" applyFont="1" applyProtection="1"/>
    <xf numFmtId="0" fontId="0" fillId="0" borderId="0" xfId="0" applyProtection="1"/>
    <xf numFmtId="0" fontId="2" fillId="0" borderId="1" xfId="0" applyFont="1" applyBorder="1" applyProtection="1"/>
    <xf numFmtId="0" fontId="0" fillId="0" borderId="30" xfId="0" applyBorder="1" applyProtection="1"/>
    <xf numFmtId="0" fontId="0" fillId="0" borderId="31" xfId="0" applyBorder="1" applyProtection="1"/>
    <xf numFmtId="0" fontId="0" fillId="0" borderId="0" xfId="0" applyAlignment="1" applyProtection="1"/>
    <xf numFmtId="0" fontId="1" fillId="0" borderId="0" xfId="0" applyFont="1" applyFill="1" applyProtection="1"/>
    <xf numFmtId="0" fontId="0" fillId="0" borderId="0" xfId="0" applyFill="1" applyProtection="1"/>
    <xf numFmtId="0" fontId="0" fillId="0" borderId="41" xfId="0" applyFill="1" applyBorder="1" applyProtection="1"/>
    <xf numFmtId="0" fontId="0" fillId="0" borderId="41" xfId="0" applyBorder="1" applyProtection="1"/>
    <xf numFmtId="0" fontId="2" fillId="0" borderId="9" xfId="0" applyFont="1" applyBorder="1" applyProtection="1"/>
    <xf numFmtId="0" fontId="0" fillId="0" borderId="10" xfId="0" applyBorder="1" applyProtection="1"/>
    <xf numFmtId="0" fontId="1" fillId="0" borderId="38" xfId="0" applyFont="1" applyFill="1" applyBorder="1" applyProtection="1"/>
    <xf numFmtId="0" fontId="5" fillId="0" borderId="35" xfId="0" applyFont="1" applyBorder="1" applyProtection="1"/>
    <xf numFmtId="0" fontId="0" fillId="0" borderId="0" xfId="0" applyBorder="1" applyProtection="1"/>
    <xf numFmtId="0" fontId="0" fillId="0" borderId="36" xfId="0" applyBorder="1" applyProtection="1"/>
    <xf numFmtId="0" fontId="0" fillId="0" borderId="11" xfId="0" applyBorder="1" applyProtection="1"/>
    <xf numFmtId="0" fontId="0" fillId="0" borderId="12" xfId="0" applyBorder="1" applyAlignment="1" applyProtection="1"/>
    <xf numFmtId="0" fontId="0" fillId="0" borderId="38" xfId="0" applyBorder="1" applyProtection="1"/>
    <xf numFmtId="0" fontId="0" fillId="0" borderId="0" xfId="0" applyFont="1" applyProtection="1"/>
    <xf numFmtId="0" fontId="0" fillId="0" borderId="0" xfId="0" applyFont="1" applyBorder="1" applyProtection="1"/>
    <xf numFmtId="0" fontId="2" fillId="6" borderId="67" xfId="0" applyFont="1" applyFill="1" applyBorder="1" applyProtection="1"/>
    <xf numFmtId="0" fontId="2" fillId="5" borderId="70" xfId="0" applyFont="1" applyFill="1" applyBorder="1" applyAlignment="1" applyProtection="1">
      <alignment horizontal="center"/>
    </xf>
    <xf numFmtId="0" fontId="2" fillId="6" borderId="65" xfId="0" applyFont="1" applyFill="1" applyBorder="1" applyAlignment="1" applyProtection="1">
      <alignment horizontal="center"/>
    </xf>
    <xf numFmtId="0" fontId="2" fillId="6" borderId="57" xfId="0" applyFont="1" applyFill="1" applyBorder="1" applyProtection="1"/>
    <xf numFmtId="0" fontId="2" fillId="0" borderId="0" xfId="0" applyFont="1" applyBorder="1" applyProtection="1"/>
    <xf numFmtId="0" fontId="0" fillId="0" borderId="68" xfId="0" applyBorder="1" applyProtection="1"/>
    <xf numFmtId="0" fontId="0" fillId="0" borderId="59" xfId="0" applyBorder="1" applyProtection="1"/>
    <xf numFmtId="0" fontId="0" fillId="0" borderId="13" xfId="0" applyBorder="1" applyProtection="1"/>
    <xf numFmtId="0" fontId="0" fillId="0" borderId="14" xfId="0" applyBorder="1" applyProtection="1"/>
    <xf numFmtId="0" fontId="0" fillId="0" borderId="74" xfId="0" applyBorder="1" applyProtection="1"/>
    <xf numFmtId="0" fontId="0" fillId="0" borderId="6" xfId="0" applyBorder="1" applyProtection="1"/>
    <xf numFmtId="0" fontId="0" fillId="0" borderId="43" xfId="0" applyBorder="1" applyProtection="1"/>
    <xf numFmtId="0" fontId="0" fillId="0" borderId="60" xfId="0" applyBorder="1" applyProtection="1"/>
    <xf numFmtId="0" fontId="0" fillId="0" borderId="74" xfId="0" applyBorder="1" applyAlignment="1" applyProtection="1">
      <alignment horizontal="center"/>
    </xf>
    <xf numFmtId="0" fontId="0" fillId="0" borderId="6" xfId="0" applyBorder="1" applyAlignment="1" applyProtection="1">
      <alignment horizontal="center"/>
    </xf>
    <xf numFmtId="2" fontId="0" fillId="3" borderId="43" xfId="0" applyNumberFormat="1" applyFill="1" applyBorder="1" applyAlignment="1" applyProtection="1">
      <alignment horizontal="center"/>
    </xf>
    <xf numFmtId="0" fontId="2" fillId="4" borderId="49" xfId="0" applyFont="1" applyFill="1" applyBorder="1" applyProtection="1"/>
    <xf numFmtId="0" fontId="0" fillId="4" borderId="50" xfId="0" applyFill="1" applyBorder="1" applyProtection="1"/>
    <xf numFmtId="0" fontId="0" fillId="0" borderId="51" xfId="0" applyBorder="1" applyAlignment="1" applyProtection="1">
      <alignment horizontal="center" vertical="center"/>
    </xf>
    <xf numFmtId="0" fontId="0" fillId="0" borderId="50" xfId="0" applyBorder="1" applyProtection="1"/>
    <xf numFmtId="0" fontId="0" fillId="0" borderId="50" xfId="0" applyBorder="1" applyAlignment="1" applyProtection="1">
      <alignment horizontal="center"/>
    </xf>
    <xf numFmtId="0" fontId="1" fillId="0" borderId="0" xfId="0" applyFont="1" applyBorder="1" applyProtection="1"/>
    <xf numFmtId="0" fontId="0" fillId="0" borderId="52" xfId="0" applyBorder="1" applyProtection="1"/>
    <xf numFmtId="2" fontId="0" fillId="6" borderId="53" xfId="0" applyNumberFormat="1" applyFill="1" applyBorder="1" applyAlignment="1" applyProtection="1">
      <alignment horizontal="center" vertical="center"/>
    </xf>
    <xf numFmtId="2" fontId="0" fillId="6" borderId="6" xfId="0" applyNumberFormat="1" applyFill="1" applyBorder="1" applyAlignment="1" applyProtection="1">
      <alignment horizontal="center"/>
    </xf>
    <xf numFmtId="2" fontId="0" fillId="2" borderId="53" xfId="0" applyNumberFormat="1" applyFill="1" applyBorder="1" applyAlignment="1" applyProtection="1">
      <alignment horizontal="center" vertical="center"/>
    </xf>
    <xf numFmtId="0" fontId="0" fillId="0" borderId="54" xfId="0" applyFill="1" applyBorder="1" applyProtection="1"/>
    <xf numFmtId="0" fontId="0" fillId="0" borderId="55" xfId="0" applyBorder="1" applyProtection="1"/>
    <xf numFmtId="2" fontId="0" fillId="6" borderId="56" xfId="0" applyNumberFormat="1" applyFill="1" applyBorder="1" applyAlignment="1" applyProtection="1">
      <alignment horizontal="center" vertical="center"/>
    </xf>
    <xf numFmtId="2" fontId="0" fillId="6" borderId="53" xfId="0" applyNumberFormat="1" applyFill="1" applyBorder="1" applyAlignment="1" applyProtection="1">
      <alignment horizontal="center"/>
    </xf>
    <xf numFmtId="0" fontId="0" fillId="0" borderId="54" xfId="0" applyBorder="1" applyProtection="1"/>
    <xf numFmtId="0" fontId="0" fillId="0" borderId="69" xfId="0" applyBorder="1" applyProtection="1"/>
    <xf numFmtId="0" fontId="0" fillId="0" borderId="58" xfId="0" applyBorder="1" applyProtection="1"/>
    <xf numFmtId="0" fontId="4" fillId="0" borderId="0" xfId="0" applyFont="1" applyBorder="1" applyProtection="1"/>
    <xf numFmtId="0" fontId="0" fillId="0" borderId="40" xfId="0" applyBorder="1" applyProtection="1"/>
    <xf numFmtId="0" fontId="0" fillId="0" borderId="42" xfId="0" applyBorder="1" applyProtection="1"/>
    <xf numFmtId="0" fontId="0" fillId="0" borderId="25" xfId="0" applyBorder="1" applyProtection="1"/>
    <xf numFmtId="0" fontId="0" fillId="0" borderId="82" xfId="0" applyFill="1" applyBorder="1" applyProtection="1"/>
    <xf numFmtId="2" fontId="0" fillId="6" borderId="26" xfId="0" applyNumberFormat="1" applyFill="1" applyBorder="1" applyAlignment="1" applyProtection="1">
      <alignment horizontal="center" vertical="center"/>
    </xf>
    <xf numFmtId="0" fontId="0" fillId="0" borderId="82" xfId="0" applyBorder="1" applyProtection="1"/>
    <xf numFmtId="0" fontId="0" fillId="0" borderId="83" xfId="0" applyFill="1" applyBorder="1" applyProtection="1"/>
    <xf numFmtId="0" fontId="0" fillId="0" borderId="84" xfId="0" applyFill="1" applyBorder="1" applyProtection="1"/>
    <xf numFmtId="0" fontId="0" fillId="0" borderId="76" xfId="0" applyBorder="1" applyProtection="1"/>
    <xf numFmtId="0" fontId="5" fillId="0" borderId="34" xfId="0" applyFont="1" applyBorder="1" applyProtection="1"/>
    <xf numFmtId="0" fontId="0" fillId="0" borderId="35" xfId="0" applyBorder="1" applyProtection="1"/>
    <xf numFmtId="0" fontId="0" fillId="0" borderId="9" xfId="0" applyFill="1" applyBorder="1" applyProtection="1"/>
    <xf numFmtId="167" fontId="0" fillId="0" borderId="21" xfId="0" applyNumberFormat="1" applyBorder="1" applyProtection="1"/>
    <xf numFmtId="2" fontId="0" fillId="6" borderId="56" xfId="0" applyNumberFormat="1" applyFill="1" applyBorder="1" applyAlignment="1" applyProtection="1">
      <alignment horizontal="center"/>
    </xf>
    <xf numFmtId="0" fontId="0" fillId="0" borderId="37" xfId="0" applyBorder="1" applyProtection="1"/>
    <xf numFmtId="0" fontId="0" fillId="0" borderId="11" xfId="0" applyFill="1" applyBorder="1" applyProtection="1"/>
    <xf numFmtId="167" fontId="0" fillId="0" borderId="6" xfId="0" applyNumberFormat="1" applyBorder="1" applyProtection="1"/>
    <xf numFmtId="0" fontId="0" fillId="0" borderId="12" xfId="0" applyBorder="1" applyProtection="1"/>
    <xf numFmtId="0" fontId="2" fillId="0" borderId="37" xfId="0" applyFont="1" applyBorder="1" applyProtection="1"/>
    <xf numFmtId="0" fontId="0" fillId="0" borderId="13" xfId="0" applyFill="1" applyBorder="1" applyProtection="1"/>
    <xf numFmtId="167" fontId="0" fillId="3" borderId="22" xfId="0" applyNumberFormat="1" applyFill="1" applyBorder="1" applyProtection="1"/>
    <xf numFmtId="0" fontId="0" fillId="0" borderId="37" xfId="0" applyFont="1" applyBorder="1" applyProtection="1"/>
    <xf numFmtId="0" fontId="0" fillId="0" borderId="0" xfId="0" applyBorder="1" applyAlignment="1" applyProtection="1"/>
    <xf numFmtId="0" fontId="0" fillId="0" borderId="0" xfId="0" applyAlignment="1" applyProtection="1">
      <alignment wrapText="1"/>
    </xf>
    <xf numFmtId="0" fontId="0" fillId="0" borderId="37" xfId="0" applyBorder="1" applyAlignment="1" applyProtection="1"/>
    <xf numFmtId="0" fontId="2" fillId="0" borderId="49" xfId="0" applyFont="1" applyBorder="1" applyProtection="1"/>
    <xf numFmtId="0" fontId="0" fillId="0" borderId="51" xfId="0" applyBorder="1" applyProtection="1"/>
    <xf numFmtId="0" fontId="0" fillId="6" borderId="52" xfId="0" applyFill="1" applyBorder="1" applyProtection="1"/>
    <xf numFmtId="0" fontId="0" fillId="0" borderId="53" xfId="0" applyBorder="1" applyProtection="1"/>
    <xf numFmtId="0" fontId="0" fillId="0" borderId="80" xfId="0" applyBorder="1" applyProtection="1"/>
    <xf numFmtId="0" fontId="0" fillId="0" borderId="81" xfId="0" applyBorder="1" applyProtection="1"/>
    <xf numFmtId="0" fontId="0" fillId="0" borderId="81" xfId="0" applyBorder="1" applyAlignment="1" applyProtection="1">
      <alignment horizontal="center"/>
    </xf>
    <xf numFmtId="0" fontId="0" fillId="3" borderId="65" xfId="0" applyFill="1" applyBorder="1" applyAlignment="1" applyProtection="1">
      <alignment horizontal="center"/>
    </xf>
    <xf numFmtId="0" fontId="1" fillId="0" borderId="41" xfId="0" applyFont="1" applyBorder="1" applyProtection="1"/>
    <xf numFmtId="0" fontId="0" fillId="0" borderId="41" xfId="0" applyBorder="1" applyAlignment="1" applyProtection="1">
      <alignment wrapText="1"/>
    </xf>
    <xf numFmtId="0" fontId="0" fillId="0" borderId="98" xfId="0" applyBorder="1" applyProtection="1"/>
    <xf numFmtId="0" fontId="0" fillId="0" borderId="99" xfId="0" applyBorder="1" applyProtection="1"/>
    <xf numFmtId="0" fontId="0" fillId="0" borderId="99" xfId="0" applyBorder="1" applyAlignment="1" applyProtection="1">
      <alignment horizontal="center"/>
    </xf>
    <xf numFmtId="0" fontId="0" fillId="3" borderId="62" xfId="0" applyFill="1" applyBorder="1" applyAlignment="1" applyProtection="1">
      <alignment horizontal="center"/>
    </xf>
    <xf numFmtId="0" fontId="2" fillId="0" borderId="75" xfId="0" applyFont="1" applyBorder="1" applyProtection="1"/>
    <xf numFmtId="0" fontId="0" fillId="0" borderId="27" xfId="0" applyBorder="1" applyProtection="1"/>
    <xf numFmtId="0" fontId="0" fillId="0" borderId="94" xfId="0" applyBorder="1" applyProtection="1"/>
    <xf numFmtId="0" fontId="0" fillId="0" borderId="91" xfId="0" applyBorder="1" applyProtection="1"/>
    <xf numFmtId="0" fontId="0" fillId="0" borderId="92" xfId="0" applyBorder="1" applyProtection="1"/>
    <xf numFmtId="0" fontId="0" fillId="0" borderId="92" xfId="0" applyBorder="1" applyAlignment="1" applyProtection="1">
      <alignment horizontal="center"/>
    </xf>
    <xf numFmtId="0" fontId="2" fillId="0" borderId="0" xfId="0" applyFont="1" applyBorder="1" applyAlignment="1" applyProtection="1">
      <alignment vertical="center"/>
    </xf>
    <xf numFmtId="0" fontId="0" fillId="6" borderId="93" xfId="0" applyFill="1" applyBorder="1" applyProtection="1"/>
    <xf numFmtId="0" fontId="0" fillId="0" borderId="97" xfId="0" applyBorder="1" applyProtection="1"/>
    <xf numFmtId="0" fontId="0" fillId="0" borderId="79" xfId="0" applyBorder="1" applyAlignment="1" applyProtection="1">
      <alignment vertical="center"/>
    </xf>
    <xf numFmtId="0" fontId="3" fillId="3" borderId="77" xfId="0" applyFont="1" applyFill="1" applyBorder="1" applyAlignment="1" applyProtection="1">
      <alignment horizontal="center" vertical="center"/>
    </xf>
    <xf numFmtId="0" fontId="2" fillId="0" borderId="77" xfId="0" applyFont="1" applyBorder="1" applyAlignment="1" applyProtection="1">
      <alignment vertical="center"/>
    </xf>
    <xf numFmtId="0" fontId="0" fillId="0" borderId="95" xfId="0" applyBorder="1" applyProtection="1"/>
    <xf numFmtId="0" fontId="0" fillId="0" borderId="96" xfId="0" applyBorder="1" applyProtection="1"/>
    <xf numFmtId="0" fontId="2" fillId="0" borderId="40" xfId="0" applyFont="1" applyBorder="1" applyProtection="1"/>
    <xf numFmtId="0" fontId="0" fillId="0" borderId="39" xfId="0" applyBorder="1" applyProtection="1"/>
    <xf numFmtId="0" fontId="0" fillId="0" borderId="7" xfId="0" applyBorder="1" applyProtection="1"/>
    <xf numFmtId="0" fontId="0" fillId="0" borderId="7" xfId="0" applyBorder="1" applyAlignment="1" applyProtection="1">
      <alignment horizontal="center"/>
    </xf>
    <xf numFmtId="0" fontId="0" fillId="3" borderId="42" xfId="0" applyFill="1" applyBorder="1" applyAlignment="1" applyProtection="1">
      <alignment horizontal="center"/>
    </xf>
    <xf numFmtId="0" fontId="2" fillId="0" borderId="77" xfId="0" applyFont="1" applyBorder="1" applyAlignment="1" applyProtection="1"/>
    <xf numFmtId="0" fontId="0" fillId="0" borderId="47" xfId="0" applyBorder="1" applyProtection="1"/>
    <xf numFmtId="0" fontId="0" fillId="6" borderId="54" xfId="0" applyFill="1" applyBorder="1" applyProtection="1"/>
    <xf numFmtId="0" fontId="0" fillId="0" borderId="56" xfId="0" applyBorder="1" applyProtection="1"/>
    <xf numFmtId="0" fontId="0" fillId="0" borderId="49" xfId="0" applyFill="1" applyBorder="1" applyProtection="1"/>
    <xf numFmtId="0" fontId="0" fillId="6" borderId="49" xfId="0" applyFill="1" applyBorder="1" applyProtection="1"/>
    <xf numFmtId="0" fontId="2" fillId="0" borderId="2" xfId="0" applyFont="1" applyBorder="1" applyProtection="1"/>
    <xf numFmtId="0" fontId="0" fillId="0" borderId="8" xfId="0" applyBorder="1" applyProtection="1"/>
    <xf numFmtId="0" fontId="0" fillId="0" borderId="3" xfId="0" applyBorder="1" applyProtection="1"/>
    <xf numFmtId="0" fontId="2" fillId="0" borderId="8" xfId="0" applyFont="1" applyBorder="1" applyProtection="1"/>
    <xf numFmtId="0" fontId="0" fillId="0" borderId="32" xfId="0" applyBorder="1" applyProtection="1"/>
    <xf numFmtId="0" fontId="0" fillId="0" borderId="33" xfId="0" applyBorder="1" applyProtection="1"/>
    <xf numFmtId="0" fontId="0" fillId="0" borderId="10" xfId="0" applyBorder="1" applyAlignment="1" applyProtection="1">
      <alignment vertical="center"/>
    </xf>
    <xf numFmtId="0" fontId="1" fillId="0" borderId="2" xfId="0" applyFont="1" applyBorder="1" applyProtection="1"/>
    <xf numFmtId="0" fontId="1" fillId="0" borderId="8" xfId="0" applyFont="1" applyBorder="1" applyProtection="1"/>
    <xf numFmtId="0" fontId="0" fillId="0" borderId="22" xfId="0" applyBorder="1" applyProtection="1"/>
    <xf numFmtId="0" fontId="0" fillId="0" borderId="1" xfId="0" applyBorder="1" applyProtection="1"/>
    <xf numFmtId="0" fontId="0" fillId="0" borderId="0" xfId="0" applyFill="1" applyBorder="1" applyProtection="1"/>
    <xf numFmtId="0" fontId="0" fillId="0" borderId="4" xfId="0" applyBorder="1" applyAlignment="1" applyProtection="1">
      <alignment vertical="top" wrapText="1"/>
    </xf>
    <xf numFmtId="2" fontId="0" fillId="3" borderId="7" xfId="0" applyNumberFormat="1" applyFill="1" applyBorder="1" applyAlignment="1" applyProtection="1">
      <alignment vertical="top" wrapText="1"/>
    </xf>
    <xf numFmtId="0" fontId="0" fillId="0" borderId="5" xfId="0" applyBorder="1" applyAlignment="1" applyProtection="1">
      <alignment vertical="top" wrapText="1"/>
    </xf>
    <xf numFmtId="2" fontId="0" fillId="3" borderId="82" xfId="0" applyNumberFormat="1" applyFill="1" applyBorder="1" applyProtection="1"/>
    <xf numFmtId="0" fontId="0" fillId="0" borderId="26" xfId="0" applyBorder="1" applyProtection="1"/>
    <xf numFmtId="2" fontId="0" fillId="3" borderId="1" xfId="0" applyNumberFormat="1" applyFill="1" applyBorder="1" applyProtection="1"/>
    <xf numFmtId="0" fontId="0" fillId="0" borderId="2" xfId="0" applyBorder="1" applyProtection="1"/>
    <xf numFmtId="0" fontId="0" fillId="0" borderId="9" xfId="0" applyBorder="1" applyProtection="1"/>
    <xf numFmtId="0" fontId="0" fillId="0" borderId="4" xfId="0" applyBorder="1" applyProtection="1"/>
    <xf numFmtId="0" fontId="0" fillId="0" borderId="7" xfId="0" applyBorder="1" applyAlignment="1" applyProtection="1">
      <alignment horizontal="right"/>
    </xf>
    <xf numFmtId="0" fontId="0" fillId="0" borderId="5" xfId="0" applyBorder="1" applyProtection="1"/>
    <xf numFmtId="2" fontId="3" fillId="3" borderId="30" xfId="0" applyNumberFormat="1" applyFont="1" applyFill="1" applyBorder="1" applyProtection="1"/>
    <xf numFmtId="2" fontId="3" fillId="3" borderId="82" xfId="0" applyNumberFormat="1" applyFont="1" applyFill="1" applyBorder="1" applyProtection="1"/>
    <xf numFmtId="2" fontId="3" fillId="3" borderId="1" xfId="0" applyNumberFormat="1" applyFont="1" applyFill="1" applyBorder="1" applyProtection="1"/>
    <xf numFmtId="165" fontId="0" fillId="0" borderId="0" xfId="0" applyNumberFormat="1" applyProtection="1"/>
    <xf numFmtId="2" fontId="0" fillId="3" borderId="100" xfId="0" applyNumberFormat="1" applyFill="1" applyBorder="1" applyAlignment="1" applyProtection="1">
      <alignment horizontal="center"/>
    </xf>
    <xf numFmtId="0" fontId="0" fillId="11" borderId="2" xfId="0" applyFill="1" applyBorder="1" applyAlignment="1">
      <alignment horizontal="left" vertical="top" wrapText="1"/>
    </xf>
    <xf numFmtId="0" fontId="0" fillId="11" borderId="8" xfId="0" applyFill="1" applyBorder="1" applyAlignment="1">
      <alignment horizontal="left" vertical="top" wrapText="1"/>
    </xf>
    <xf numFmtId="0" fontId="0" fillId="11" borderId="3" xfId="0" applyFill="1" applyBorder="1" applyAlignment="1">
      <alignment horizontal="left" vertical="top" wrapText="1"/>
    </xf>
    <xf numFmtId="0" fontId="0" fillId="11" borderId="32" xfId="0" applyFill="1" applyBorder="1" applyAlignment="1">
      <alignment horizontal="left" vertical="top" wrapText="1"/>
    </xf>
    <xf numFmtId="0" fontId="0" fillId="11" borderId="0" xfId="0" applyFill="1" applyBorder="1" applyAlignment="1">
      <alignment horizontal="left" vertical="top" wrapText="1"/>
    </xf>
    <xf numFmtId="0" fontId="0" fillId="11" borderId="33" xfId="0" applyFill="1" applyBorder="1" applyAlignment="1">
      <alignment horizontal="left" vertical="top" wrapText="1"/>
    </xf>
    <xf numFmtId="0" fontId="0" fillId="11" borderId="4" xfId="0" applyFill="1" applyBorder="1" applyAlignment="1">
      <alignment horizontal="left" vertical="top" wrapText="1"/>
    </xf>
    <xf numFmtId="0" fontId="0" fillId="11" borderId="7" xfId="0" applyFill="1" applyBorder="1" applyAlignment="1">
      <alignment horizontal="left" vertical="top" wrapText="1"/>
    </xf>
    <xf numFmtId="0" fontId="0" fillId="11" borderId="5" xfId="0" applyFill="1" applyBorder="1" applyAlignment="1">
      <alignment horizontal="left" vertical="top" wrapText="1"/>
    </xf>
    <xf numFmtId="0" fontId="2" fillId="7" borderId="75" xfId="0" applyFont="1" applyFill="1" applyBorder="1" applyAlignment="1">
      <alignment horizontal="left"/>
    </xf>
    <xf numFmtId="0" fontId="2" fillId="9" borderId="75" xfId="0" applyFont="1" applyFill="1" applyBorder="1" applyAlignment="1">
      <alignment horizontal="left"/>
    </xf>
    <xf numFmtId="0" fontId="0" fillId="9" borderId="75" xfId="0" applyFill="1" applyBorder="1" applyAlignment="1">
      <alignment horizontal="left" vertical="center" wrapText="1"/>
    </xf>
    <xf numFmtId="0" fontId="2" fillId="8" borderId="75" xfId="0" applyFont="1" applyFill="1" applyBorder="1" applyAlignment="1">
      <alignment horizontal="left"/>
    </xf>
    <xf numFmtId="0" fontId="0" fillId="8" borderId="75" xfId="0" applyFill="1" applyBorder="1" applyAlignment="1">
      <alignment horizontal="left" vertical="center" wrapText="1"/>
    </xf>
    <xf numFmtId="0" fontId="2" fillId="10" borderId="75" xfId="0" applyFont="1" applyFill="1" applyBorder="1" applyAlignment="1">
      <alignment horizontal="left"/>
    </xf>
    <xf numFmtId="0" fontId="0" fillId="10" borderId="75" xfId="0" applyFill="1" applyBorder="1" applyAlignment="1">
      <alignment horizontal="left" vertical="center" wrapText="1"/>
    </xf>
    <xf numFmtId="0" fontId="0" fillId="7" borderId="75" xfId="0" applyFill="1" applyBorder="1" applyAlignment="1">
      <alignment horizontal="left" vertical="center" wrapText="1"/>
    </xf>
    <xf numFmtId="0" fontId="0" fillId="6" borderId="44" xfId="0" applyFill="1" applyBorder="1" applyAlignment="1" applyProtection="1">
      <alignment horizontal="center" wrapText="1"/>
    </xf>
    <xf numFmtId="0" fontId="0" fillId="6" borderId="46" xfId="0" applyFill="1" applyBorder="1" applyAlignment="1" applyProtection="1">
      <alignment horizontal="center" wrapText="1"/>
    </xf>
    <xf numFmtId="0" fontId="0" fillId="0" borderId="37"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38" xfId="0" applyBorder="1" applyAlignment="1" applyProtection="1">
      <alignment horizontal="left" vertical="top" wrapText="1"/>
    </xf>
    <xf numFmtId="0" fontId="0" fillId="0" borderId="79" xfId="0" applyBorder="1" applyAlignment="1" applyProtection="1">
      <alignment horizontal="left"/>
    </xf>
    <xf numFmtId="0" fontId="0" fillId="0" borderId="76" xfId="0" applyBorder="1" applyAlignment="1" applyProtection="1">
      <alignment horizontal="left"/>
    </xf>
    <xf numFmtId="0" fontId="0" fillId="0" borderId="77" xfId="0" applyBorder="1" applyAlignment="1" applyProtection="1">
      <alignment horizontal="left"/>
    </xf>
    <xf numFmtId="0" fontId="2" fillId="6" borderId="35" xfId="0" applyFont="1" applyFill="1" applyBorder="1" applyAlignment="1" applyProtection="1">
      <alignment horizontal="center" wrapText="1"/>
    </xf>
    <xf numFmtId="0" fontId="2" fillId="6" borderId="36" xfId="0" applyFont="1" applyFill="1" applyBorder="1" applyAlignment="1" applyProtection="1">
      <alignment horizontal="center" wrapText="1"/>
    </xf>
    <xf numFmtId="0" fontId="2" fillId="6" borderId="0" xfId="0" applyFont="1" applyFill="1" applyBorder="1" applyAlignment="1" applyProtection="1">
      <alignment horizontal="center" wrapText="1"/>
    </xf>
    <xf numFmtId="0" fontId="2" fillId="6" borderId="38" xfId="0" applyFont="1" applyFill="1" applyBorder="1" applyAlignment="1" applyProtection="1">
      <alignment horizontal="center" wrapText="1"/>
    </xf>
    <xf numFmtId="0" fontId="2" fillId="6" borderId="61" xfId="0" applyFont="1" applyFill="1" applyBorder="1" applyAlignment="1" applyProtection="1">
      <alignment horizontal="center" wrapText="1"/>
    </xf>
    <xf numFmtId="0" fontId="2" fillId="6" borderId="64" xfId="0" applyFont="1" applyFill="1" applyBorder="1" applyAlignment="1" applyProtection="1">
      <alignment horizontal="center" wrapText="1"/>
    </xf>
    <xf numFmtId="0" fontId="0" fillId="2" borderId="2"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2" fillId="0" borderId="79" xfId="0" applyFont="1" applyBorder="1" applyAlignment="1" applyProtection="1">
      <alignment horizontal="center"/>
    </xf>
    <xf numFmtId="0" fontId="2" fillId="0" borderId="76" xfId="0" applyFont="1" applyBorder="1" applyAlignment="1" applyProtection="1">
      <alignment horizontal="center"/>
    </xf>
    <xf numFmtId="0" fontId="2" fillId="0" borderId="77" xfId="0" applyFont="1" applyBorder="1" applyAlignment="1" applyProtection="1">
      <alignment horizontal="center"/>
    </xf>
    <xf numFmtId="0" fontId="0" fillId="0" borderId="75" xfId="0" applyBorder="1" applyAlignment="1" applyProtection="1">
      <alignment horizontal="left" vertical="center" wrapText="1"/>
    </xf>
    <xf numFmtId="0" fontId="0" fillId="0" borderId="0" xfId="0" applyBorder="1" applyAlignment="1" applyProtection="1">
      <alignment horizontal="left" wrapText="1"/>
    </xf>
    <xf numFmtId="0" fontId="4" fillId="0" borderId="76" xfId="0" applyFont="1" applyBorder="1" applyAlignment="1" applyProtection="1">
      <alignment horizontal="center" vertical="center"/>
    </xf>
    <xf numFmtId="0" fontId="4" fillId="0" borderId="77" xfId="0" applyFont="1" applyBorder="1" applyAlignment="1" applyProtection="1">
      <alignment horizontal="center" vertical="center"/>
    </xf>
    <xf numFmtId="0" fontId="0" fillId="0" borderId="85" xfId="0" applyFill="1" applyBorder="1" applyAlignment="1" applyProtection="1">
      <alignment horizontal="center"/>
    </xf>
    <xf numFmtId="0" fontId="0" fillId="0" borderId="86" xfId="0" applyFill="1" applyBorder="1" applyAlignment="1" applyProtection="1">
      <alignment horizontal="center"/>
    </xf>
    <xf numFmtId="0" fontId="0" fillId="0" borderId="66" xfId="0" applyFill="1" applyBorder="1" applyAlignment="1" applyProtection="1">
      <alignment horizontal="center"/>
    </xf>
    <xf numFmtId="0" fontId="0" fillId="0" borderId="90" xfId="0" applyBorder="1" applyAlignment="1" applyProtection="1">
      <alignment horizontal="center" vertical="top" wrapText="1"/>
    </xf>
    <xf numFmtId="0" fontId="0" fillId="0" borderId="79" xfId="0" applyBorder="1" applyAlignment="1" applyProtection="1">
      <alignment horizontal="center"/>
    </xf>
    <xf numFmtId="0" fontId="0" fillId="0" borderId="76" xfId="0" applyBorder="1" applyAlignment="1" applyProtection="1">
      <alignment horizontal="center"/>
    </xf>
    <xf numFmtId="0" fontId="0" fillId="0" borderId="77" xfId="0" applyBorder="1" applyAlignment="1" applyProtection="1">
      <alignment horizontal="center"/>
    </xf>
    <xf numFmtId="0" fontId="0" fillId="0" borderId="2"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32"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3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5" xfId="0" applyBorder="1" applyAlignment="1" applyProtection="1">
      <alignment horizontal="center" vertical="center" wrapText="1"/>
    </xf>
    <xf numFmtId="0" fontId="2" fillId="0" borderId="75" xfId="0" applyFont="1" applyBorder="1" applyAlignment="1" applyProtection="1">
      <alignment horizontal="center"/>
    </xf>
    <xf numFmtId="0" fontId="6" fillId="0" borderId="75" xfId="0" applyFont="1" applyBorder="1" applyAlignment="1" applyProtection="1">
      <alignment horizontal="center"/>
    </xf>
    <xf numFmtId="0" fontId="7" fillId="0" borderId="44" xfId="0" applyFont="1" applyBorder="1" applyAlignment="1" applyProtection="1">
      <alignment horizontal="center" wrapText="1"/>
    </xf>
    <xf numFmtId="0" fontId="7" fillId="0" borderId="45" xfId="0" applyFont="1" applyBorder="1" applyAlignment="1" applyProtection="1">
      <alignment horizontal="center" wrapText="1"/>
    </xf>
    <xf numFmtId="0" fontId="7" fillId="0" borderId="46" xfId="0" applyFont="1" applyBorder="1" applyAlignment="1" applyProtection="1">
      <alignment horizontal="center" wrapText="1"/>
    </xf>
    <xf numFmtId="0" fontId="0" fillId="0" borderId="18" xfId="0" applyBorder="1" applyAlignment="1" applyProtection="1">
      <alignment horizontal="left" vertical="center" wrapText="1"/>
    </xf>
    <xf numFmtId="0" fontId="0" fillId="0" borderId="102" xfId="0" applyBorder="1" applyAlignment="1" applyProtection="1">
      <alignment horizontal="left" vertical="center" wrapText="1"/>
    </xf>
    <xf numFmtId="0" fontId="0" fillId="0" borderId="103" xfId="0" applyBorder="1" applyAlignment="1" applyProtection="1">
      <alignment horizontal="left" vertical="center" wrapText="1"/>
    </xf>
  </cellXfs>
  <cellStyles count="1">
    <cellStyle name="Standard" xfId="0" builtinId="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theme="0" tint="-0.2499465926084170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de-DE"/>
              <a:t>Dosisbeiträge pro Jahr (mSv)</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'Dosis Hilfsblatt'!$G$88</c:f>
              <c:strCache>
                <c:ptCount val="1"/>
                <c:pt idx="0">
                  <c:v>Radon</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'Dosis Hilfsblatt'!$H$87:$K$87</c:f>
              <c:strCache>
                <c:ptCount val="4"/>
                <c:pt idx="0">
                  <c:v>Natürliche Strahlung</c:v>
                </c:pt>
                <c:pt idx="1">
                  <c:v>Aufenthalt nahe der Rückstände</c:v>
                </c:pt>
                <c:pt idx="2">
                  <c:v>Ausbau. Verladung, Handling</c:v>
                </c:pt>
                <c:pt idx="3">
                  <c:v>Transport</c:v>
                </c:pt>
              </c:strCache>
            </c:strRef>
          </c:cat>
          <c:val>
            <c:numRef>
              <c:f>'Dosis Hilfsblatt'!$H$88:$K$88</c:f>
              <c:numCache>
                <c:formatCode>0.0</c:formatCode>
                <c:ptCount val="4"/>
                <c:pt idx="0">
                  <c:v>1.1000000000000001</c:v>
                </c:pt>
              </c:numCache>
            </c:numRef>
          </c:val>
          <c:extLst xmlns:c16r2="http://schemas.microsoft.com/office/drawing/2015/06/chart">
            <c:ext xmlns:c16="http://schemas.microsoft.com/office/drawing/2014/chart" uri="{C3380CC4-5D6E-409C-BE32-E72D297353CC}">
              <c16:uniqueId val="{00000000-33BC-42E9-B338-03077F55747D}"/>
            </c:ext>
          </c:extLst>
        </c:ser>
        <c:ser>
          <c:idx val="1"/>
          <c:order val="1"/>
          <c:tx>
            <c:strRef>
              <c:f>'Dosis Hilfsblatt'!$G$89</c:f>
              <c:strCache>
                <c:ptCount val="1"/>
                <c:pt idx="0">
                  <c:v>Terrestrische Strahlung</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'Dosis Hilfsblatt'!$H$87:$K$87</c:f>
              <c:strCache>
                <c:ptCount val="4"/>
                <c:pt idx="0">
                  <c:v>Natürliche Strahlung</c:v>
                </c:pt>
                <c:pt idx="1">
                  <c:v>Aufenthalt nahe der Rückstände</c:v>
                </c:pt>
                <c:pt idx="2">
                  <c:v>Ausbau. Verladung, Handling</c:v>
                </c:pt>
                <c:pt idx="3">
                  <c:v>Transport</c:v>
                </c:pt>
              </c:strCache>
            </c:strRef>
          </c:cat>
          <c:val>
            <c:numRef>
              <c:f>'Dosis Hilfsblatt'!$H$89:$K$89</c:f>
              <c:numCache>
                <c:formatCode>0.0</c:formatCode>
                <c:ptCount val="4"/>
                <c:pt idx="0">
                  <c:v>0.4</c:v>
                </c:pt>
              </c:numCache>
            </c:numRef>
          </c:val>
          <c:extLst xmlns:c16r2="http://schemas.microsoft.com/office/drawing/2015/06/chart">
            <c:ext xmlns:c16="http://schemas.microsoft.com/office/drawing/2014/chart" uri="{C3380CC4-5D6E-409C-BE32-E72D297353CC}">
              <c16:uniqueId val="{00000001-33BC-42E9-B338-03077F55747D}"/>
            </c:ext>
          </c:extLst>
        </c:ser>
        <c:ser>
          <c:idx val="2"/>
          <c:order val="2"/>
          <c:tx>
            <c:strRef>
              <c:f>'Dosis Hilfsblatt'!$G$90</c:f>
              <c:strCache>
                <c:ptCount val="1"/>
                <c:pt idx="0">
                  <c:v>Kosmische Strahlung</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'Dosis Hilfsblatt'!$H$87:$K$87</c:f>
              <c:strCache>
                <c:ptCount val="4"/>
                <c:pt idx="0">
                  <c:v>Natürliche Strahlung</c:v>
                </c:pt>
                <c:pt idx="1">
                  <c:v>Aufenthalt nahe der Rückstände</c:v>
                </c:pt>
                <c:pt idx="2">
                  <c:v>Ausbau. Verladung, Handling</c:v>
                </c:pt>
                <c:pt idx="3">
                  <c:v>Transport</c:v>
                </c:pt>
              </c:strCache>
            </c:strRef>
          </c:cat>
          <c:val>
            <c:numRef>
              <c:f>'Dosis Hilfsblatt'!$H$90:$K$90</c:f>
              <c:numCache>
                <c:formatCode>0.0</c:formatCode>
                <c:ptCount val="4"/>
                <c:pt idx="0">
                  <c:v>0.3</c:v>
                </c:pt>
              </c:numCache>
            </c:numRef>
          </c:val>
          <c:extLst xmlns:c16r2="http://schemas.microsoft.com/office/drawing/2015/06/chart">
            <c:ext xmlns:c16="http://schemas.microsoft.com/office/drawing/2014/chart" uri="{C3380CC4-5D6E-409C-BE32-E72D297353CC}">
              <c16:uniqueId val="{00000002-33BC-42E9-B338-03077F55747D}"/>
            </c:ext>
          </c:extLst>
        </c:ser>
        <c:ser>
          <c:idx val="3"/>
          <c:order val="3"/>
          <c:tx>
            <c:strRef>
              <c:f>'Dosis Hilfsblatt'!$G$91</c:f>
              <c:strCache>
                <c:ptCount val="1"/>
                <c:pt idx="0">
                  <c:v>Radioaktivität in Lebensmitteln</c:v>
                </c:pt>
              </c:strCache>
            </c:strRef>
          </c:tx>
          <c:spPr>
            <a:solidFill>
              <a:schemeClr val="accent6">
                <a:lumMod val="20000"/>
                <a:lumOff val="80000"/>
              </a:schemeClr>
            </a:solidFill>
            <a:ln>
              <a:noFill/>
            </a:ln>
            <a:effectLst/>
          </c:spPr>
          <c:invertIfNegative val="0"/>
          <c:dLbls>
            <c:dLbl>
              <c:idx val="0"/>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3BC-42E9-B338-03077F55747D}"/>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'Dosis Hilfsblatt'!$H$87:$K$87</c:f>
              <c:strCache>
                <c:ptCount val="4"/>
                <c:pt idx="0">
                  <c:v>Natürliche Strahlung</c:v>
                </c:pt>
                <c:pt idx="1">
                  <c:v>Aufenthalt nahe der Rückstände</c:v>
                </c:pt>
                <c:pt idx="2">
                  <c:v>Ausbau. Verladung, Handling</c:v>
                </c:pt>
                <c:pt idx="3">
                  <c:v>Transport</c:v>
                </c:pt>
              </c:strCache>
            </c:strRef>
          </c:cat>
          <c:val>
            <c:numRef>
              <c:f>'Dosis Hilfsblatt'!$H$91:$K$91</c:f>
              <c:numCache>
                <c:formatCode>0.0</c:formatCode>
                <c:ptCount val="4"/>
                <c:pt idx="0">
                  <c:v>0.3</c:v>
                </c:pt>
              </c:numCache>
            </c:numRef>
          </c:val>
          <c:extLst xmlns:c16r2="http://schemas.microsoft.com/office/drawing/2015/06/chart">
            <c:ext xmlns:c16="http://schemas.microsoft.com/office/drawing/2014/chart" uri="{C3380CC4-5D6E-409C-BE32-E72D297353CC}">
              <c16:uniqueId val="{00000003-33BC-42E9-B338-03077F55747D}"/>
            </c:ext>
          </c:extLst>
        </c:ser>
        <c:ser>
          <c:idx val="4"/>
          <c:order val="4"/>
          <c:tx>
            <c:strRef>
              <c:f>'Dosis Hilfsblatt'!$G$92</c:f>
              <c:strCache>
                <c:ptCount val="1"/>
                <c:pt idx="0">
                  <c:v>Rückstände</c:v>
                </c:pt>
              </c:strCache>
            </c:strRef>
          </c:tx>
          <c:spPr>
            <a:solidFill>
              <a:schemeClr val="accent5"/>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'Dosis Hilfsblatt'!$H$87:$K$87</c:f>
              <c:strCache>
                <c:ptCount val="4"/>
                <c:pt idx="0">
                  <c:v>Natürliche Strahlung</c:v>
                </c:pt>
                <c:pt idx="1">
                  <c:v>Aufenthalt nahe der Rückstände</c:v>
                </c:pt>
                <c:pt idx="2">
                  <c:v>Ausbau. Verladung, Handling</c:v>
                </c:pt>
                <c:pt idx="3">
                  <c:v>Transport</c:v>
                </c:pt>
              </c:strCache>
            </c:strRef>
          </c:cat>
          <c:val>
            <c:numRef>
              <c:f>'Dosis Hilfsblatt'!$H$92:$K$92</c:f>
              <c:numCache>
                <c:formatCode>0.0</c:formatCode>
                <c:ptCount val="4"/>
                <c:pt idx="1">
                  <c:v>0</c:v>
                </c:pt>
                <c:pt idx="2">
                  <c:v>0</c:v>
                </c:pt>
                <c:pt idx="3">
                  <c:v>0</c:v>
                </c:pt>
              </c:numCache>
            </c:numRef>
          </c:val>
          <c:extLst xmlns:c16r2="http://schemas.microsoft.com/office/drawing/2015/06/chart">
            <c:ext xmlns:c16="http://schemas.microsoft.com/office/drawing/2014/chart" uri="{C3380CC4-5D6E-409C-BE32-E72D297353CC}">
              <c16:uniqueId val="{00000004-33BC-42E9-B338-03077F55747D}"/>
            </c:ext>
          </c:extLst>
        </c:ser>
        <c:dLbls>
          <c:showLegendKey val="0"/>
          <c:showVal val="0"/>
          <c:showCatName val="0"/>
          <c:showSerName val="0"/>
          <c:showPercent val="0"/>
          <c:showBubbleSize val="0"/>
        </c:dLbls>
        <c:gapWidth val="150"/>
        <c:overlap val="100"/>
        <c:axId val="352426760"/>
        <c:axId val="169035416"/>
      </c:barChart>
      <c:catAx>
        <c:axId val="352426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69035416"/>
        <c:crosses val="autoZero"/>
        <c:auto val="1"/>
        <c:lblAlgn val="ctr"/>
        <c:lblOffset val="100"/>
        <c:noMultiLvlLbl val="0"/>
      </c:catAx>
      <c:valAx>
        <c:axId val="169035416"/>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52426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19050" cap="flat" cmpd="dbl" algn="ctr">
      <a:solidFill>
        <a:schemeClr val="accent6">
          <a:lumMod val="50000"/>
        </a:schemeClr>
      </a:solidFill>
      <a:round/>
    </a:ln>
    <a:effectLst/>
  </c:spPr>
  <c:txPr>
    <a:bodyPr/>
    <a:lstStyle/>
    <a:p>
      <a:pPr>
        <a:defRPr sz="1100"/>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3" dropStyle="combo" dx="22" fmlaLink="Auswahl!$G$4" fmlaRange="Auswahl!$A$3:$A$5" noThreeD="1" sel="3" val="0"/>
</file>

<file path=xl/ctrlProps/ctrlProp2.xml><?xml version="1.0" encoding="utf-8"?>
<formControlPr xmlns="http://schemas.microsoft.com/office/spreadsheetml/2009/9/main" objectType="Drop" dropLines="4" dropStyle="combo" dx="22" fmlaLink="Auswahl!$G$19" fmlaRange="Auswahl!$A$18:$A$21" noThreeD="1" sel="1" val="0"/>
</file>

<file path=xl/ctrlProps/ctrlProp3.xml><?xml version="1.0" encoding="utf-8"?>
<formControlPr xmlns="http://schemas.microsoft.com/office/spreadsheetml/2009/9/main" objectType="Drop" dropLines="4" dropStyle="combo" dx="22" fmlaLink="Auswahl!$G$11" fmlaRange="Auswahl!$A$10:$A$13" noThreeD="1" sel="1" val="0"/>
</file>

<file path=xl/ctrlProps/ctrlProp4.xml><?xml version="1.0" encoding="utf-8"?>
<formControlPr xmlns="http://schemas.microsoft.com/office/spreadsheetml/2009/9/main" objectType="Drop" dropLines="3" dropStyle="combo" dx="22" fmlaLink="'Dosis Hilfsblatt'!$B$7" fmlaRange="'Dosis Hilfsblatt'!$A$6:$A$8" noThreeD="1" sel="3" val="0"/>
</file>

<file path=xl/ctrlProps/ctrlProp5.xml><?xml version="1.0" encoding="utf-8"?>
<formControlPr xmlns="http://schemas.microsoft.com/office/spreadsheetml/2009/9/main" objectType="Drop" dropLines="2" dropStyle="combo" dx="22" fmlaLink="'Dosis Hilfsblatt'!$B$4" fmlaRange="'Dosis Hilfsblatt'!$A$3:$A$4" noThreeD="1" sel="1" val="0"/>
</file>

<file path=xl/ctrlProps/ctrlProp6.xml><?xml version="1.0" encoding="utf-8"?>
<formControlPr xmlns="http://schemas.microsoft.com/office/spreadsheetml/2009/9/main" objectType="Drop" dropLines="2" dropStyle="combo" dx="22" fmlaLink="'Dosis Hilfsblatt'!$C$64" fmlaRange="'Dosis Hilfsblatt'!$A$63:$A$64" noThreeD="1" sel="2" val="0"/>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26</xdr:row>
          <xdr:rowOff>31750</xdr:rowOff>
        </xdr:from>
        <xdr:to>
          <xdr:col>5</xdr:col>
          <xdr:colOff>1390650</xdr:colOff>
          <xdr:row>27</xdr:row>
          <xdr:rowOff>152400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xmlns="" id="{00000000-0008-0000-01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12700</xdr:rowOff>
        </xdr:from>
        <xdr:to>
          <xdr:col>3</xdr:col>
          <xdr:colOff>533400</xdr:colOff>
          <xdr:row>12</xdr:row>
          <xdr:rowOff>127000</xdr:rowOff>
        </xdr:to>
        <xdr:sp macro="" textlink="">
          <xdr:nvSpPr>
            <xdr:cNvPr id="1037" name="Drop Down 13" descr="Art der Rückstände" hidden="1">
              <a:extLst>
                <a:ext uri="{63B3BB69-23CF-44E3-9099-C40C66FF867C}">
                  <a14:compatExt spid="_x0000_s1037"/>
                </a:ext>
                <a:ext uri="{FF2B5EF4-FFF2-40B4-BE49-F238E27FC236}">
                  <a16:creationId xmlns:a16="http://schemas.microsoft.com/office/drawing/2014/main" xmlns="" id="{00000000-0008-0000-01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38100</xdr:rowOff>
        </xdr:from>
        <xdr:to>
          <xdr:col>5</xdr:col>
          <xdr:colOff>774700</xdr:colOff>
          <xdr:row>16</xdr:row>
          <xdr:rowOff>152400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xmlns="" id="{00000000-0008-0000-01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xdr:row>
          <xdr:rowOff>184150</xdr:rowOff>
        </xdr:from>
        <xdr:to>
          <xdr:col>8</xdr:col>
          <xdr:colOff>565150</xdr:colOff>
          <xdr:row>6</xdr:row>
          <xdr:rowOff>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xmlns="" id="{00000000-0008-0000-02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xdr:row>
          <xdr:rowOff>184150</xdr:rowOff>
        </xdr:from>
        <xdr:to>
          <xdr:col>3</xdr:col>
          <xdr:colOff>781050</xdr:colOff>
          <xdr:row>6</xdr:row>
          <xdr:rowOff>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xmlns="" id="{00000000-0008-0000-02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760251</xdr:colOff>
      <xdr:row>22</xdr:row>
      <xdr:rowOff>17476</xdr:rowOff>
    </xdr:from>
    <xdr:to>
      <xdr:col>13</xdr:col>
      <xdr:colOff>17476</xdr:colOff>
      <xdr:row>40</xdr:row>
      <xdr:rowOff>95423</xdr:rowOff>
    </xdr:to>
    <xdr:graphicFrame macro="">
      <xdr:nvGraphicFramePr>
        <xdr:cNvPr id="5" name="Diagramm 4">
          <a:extLst>
            <a:ext uri="{FF2B5EF4-FFF2-40B4-BE49-F238E27FC236}">
              <a16:creationId xmlns:a16="http://schemas.microsoft.com/office/drawing/2014/main" xmlns=""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7</xdr:col>
          <xdr:colOff>31750</xdr:colOff>
          <xdr:row>7</xdr:row>
          <xdr:rowOff>209550</xdr:rowOff>
        </xdr:from>
        <xdr:to>
          <xdr:col>9</xdr:col>
          <xdr:colOff>679450</xdr:colOff>
          <xdr:row>7</xdr:row>
          <xdr:rowOff>400050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xmlns="" id="{00000000-0008-0000-02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zoomScale="80" zoomScaleNormal="80" workbookViewId="0">
      <selection activeCell="K3" sqref="K3:S19"/>
    </sheetView>
  </sheetViews>
  <sheetFormatPr baseColWidth="10" defaultRowHeight="14.5" x14ac:dyDescent="0.35"/>
  <sheetData>
    <row r="1" spans="1:19" ht="15.5" thickTop="1" thickBot="1" x14ac:dyDescent="0.4">
      <c r="A1" s="264" t="s">
        <v>163</v>
      </c>
      <c r="B1" s="264"/>
      <c r="C1" s="264"/>
      <c r="D1" s="264"/>
      <c r="E1" s="264"/>
      <c r="F1" s="264"/>
      <c r="G1" s="264"/>
      <c r="H1" s="264"/>
      <c r="I1" s="264"/>
      <c r="K1" s="265" t="s">
        <v>164</v>
      </c>
      <c r="L1" s="265"/>
      <c r="M1" s="265"/>
      <c r="N1" s="265"/>
      <c r="O1" s="265"/>
      <c r="P1" s="265"/>
      <c r="Q1" s="265"/>
      <c r="R1" s="265"/>
      <c r="S1" s="265"/>
    </row>
    <row r="2" spans="1:19" ht="15.5" thickTop="1" thickBot="1" x14ac:dyDescent="0.4"/>
    <row r="3" spans="1:19" ht="15" customHeight="1" thickTop="1" thickBot="1" x14ac:dyDescent="0.4">
      <c r="A3" s="271" t="s">
        <v>203</v>
      </c>
      <c r="B3" s="271"/>
      <c r="C3" s="271"/>
      <c r="D3" s="271"/>
      <c r="E3" s="271"/>
      <c r="F3" s="271"/>
      <c r="G3" s="271"/>
      <c r="H3" s="271"/>
      <c r="I3" s="271"/>
      <c r="K3" s="266" t="s">
        <v>270</v>
      </c>
      <c r="L3" s="266"/>
      <c r="M3" s="266"/>
      <c r="N3" s="266"/>
      <c r="O3" s="266"/>
      <c r="P3" s="266"/>
      <c r="Q3" s="266"/>
      <c r="R3" s="266"/>
      <c r="S3" s="266"/>
    </row>
    <row r="4" spans="1:19" ht="15.5" thickTop="1" thickBot="1" x14ac:dyDescent="0.4">
      <c r="A4" s="271"/>
      <c r="B4" s="271"/>
      <c r="C4" s="271"/>
      <c r="D4" s="271"/>
      <c r="E4" s="271"/>
      <c r="F4" s="271"/>
      <c r="G4" s="271"/>
      <c r="H4" s="271"/>
      <c r="I4" s="271"/>
      <c r="K4" s="266"/>
      <c r="L4" s="266"/>
      <c r="M4" s="266"/>
      <c r="N4" s="266"/>
      <c r="O4" s="266"/>
      <c r="P4" s="266"/>
      <c r="Q4" s="266"/>
      <c r="R4" s="266"/>
      <c r="S4" s="266"/>
    </row>
    <row r="5" spans="1:19" ht="15.5" thickTop="1" thickBot="1" x14ac:dyDescent="0.4">
      <c r="A5" s="271"/>
      <c r="B5" s="271"/>
      <c r="C5" s="271"/>
      <c r="D5" s="271"/>
      <c r="E5" s="271"/>
      <c r="F5" s="271"/>
      <c r="G5" s="271"/>
      <c r="H5" s="271"/>
      <c r="I5" s="271"/>
      <c r="K5" s="266"/>
      <c r="L5" s="266"/>
      <c r="M5" s="266"/>
      <c r="N5" s="266"/>
      <c r="O5" s="266"/>
      <c r="P5" s="266"/>
      <c r="Q5" s="266"/>
      <c r="R5" s="266"/>
      <c r="S5" s="266"/>
    </row>
    <row r="6" spans="1:19" ht="15.5" thickTop="1" thickBot="1" x14ac:dyDescent="0.4">
      <c r="A6" s="271"/>
      <c r="B6" s="271"/>
      <c r="C6" s="271"/>
      <c r="D6" s="271"/>
      <c r="E6" s="271"/>
      <c r="F6" s="271"/>
      <c r="G6" s="271"/>
      <c r="H6" s="271"/>
      <c r="I6" s="271"/>
      <c r="K6" s="266"/>
      <c r="L6" s="266"/>
      <c r="M6" s="266"/>
      <c r="N6" s="266"/>
      <c r="O6" s="266"/>
      <c r="P6" s="266"/>
      <c r="Q6" s="266"/>
      <c r="R6" s="266"/>
      <c r="S6" s="266"/>
    </row>
    <row r="7" spans="1:19" ht="15.5" thickTop="1" thickBot="1" x14ac:dyDescent="0.4">
      <c r="A7" s="271"/>
      <c r="B7" s="271"/>
      <c r="C7" s="271"/>
      <c r="D7" s="271"/>
      <c r="E7" s="271"/>
      <c r="F7" s="271"/>
      <c r="G7" s="271"/>
      <c r="H7" s="271"/>
      <c r="I7" s="271"/>
      <c r="K7" s="266"/>
      <c r="L7" s="266"/>
      <c r="M7" s="266"/>
      <c r="N7" s="266"/>
      <c r="O7" s="266"/>
      <c r="P7" s="266"/>
      <c r="Q7" s="266"/>
      <c r="R7" s="266"/>
      <c r="S7" s="266"/>
    </row>
    <row r="8" spans="1:19" ht="15.5" thickTop="1" thickBot="1" x14ac:dyDescent="0.4">
      <c r="A8" s="271"/>
      <c r="B8" s="271"/>
      <c r="C8" s="271"/>
      <c r="D8" s="271"/>
      <c r="E8" s="271"/>
      <c r="F8" s="271"/>
      <c r="G8" s="271"/>
      <c r="H8" s="271"/>
      <c r="I8" s="271"/>
      <c r="K8" s="266"/>
      <c r="L8" s="266"/>
      <c r="M8" s="266"/>
      <c r="N8" s="266"/>
      <c r="O8" s="266"/>
      <c r="P8" s="266"/>
      <c r="Q8" s="266"/>
      <c r="R8" s="266"/>
      <c r="S8" s="266"/>
    </row>
    <row r="9" spans="1:19" ht="15.5" thickTop="1" thickBot="1" x14ac:dyDescent="0.4">
      <c r="A9" s="271"/>
      <c r="B9" s="271"/>
      <c r="C9" s="271"/>
      <c r="D9" s="271"/>
      <c r="E9" s="271"/>
      <c r="F9" s="271"/>
      <c r="G9" s="271"/>
      <c r="H9" s="271"/>
      <c r="I9" s="271"/>
      <c r="K9" s="266"/>
      <c r="L9" s="266"/>
      <c r="M9" s="266"/>
      <c r="N9" s="266"/>
      <c r="O9" s="266"/>
      <c r="P9" s="266"/>
      <c r="Q9" s="266"/>
      <c r="R9" s="266"/>
      <c r="S9" s="266"/>
    </row>
    <row r="10" spans="1:19" ht="15.5" thickTop="1" thickBot="1" x14ac:dyDescent="0.4">
      <c r="A10" s="271"/>
      <c r="B10" s="271"/>
      <c r="C10" s="271"/>
      <c r="D10" s="271"/>
      <c r="E10" s="271"/>
      <c r="F10" s="271"/>
      <c r="G10" s="271"/>
      <c r="H10" s="271"/>
      <c r="I10" s="271"/>
      <c r="K10" s="266"/>
      <c r="L10" s="266"/>
      <c r="M10" s="266"/>
      <c r="N10" s="266"/>
      <c r="O10" s="266"/>
      <c r="P10" s="266"/>
      <c r="Q10" s="266"/>
      <c r="R10" s="266"/>
      <c r="S10" s="266"/>
    </row>
    <row r="11" spans="1:19" ht="15.5" thickTop="1" thickBot="1" x14ac:dyDescent="0.4">
      <c r="A11" s="271"/>
      <c r="B11" s="271"/>
      <c r="C11" s="271"/>
      <c r="D11" s="271"/>
      <c r="E11" s="271"/>
      <c r="F11" s="271"/>
      <c r="G11" s="271"/>
      <c r="H11" s="271"/>
      <c r="I11" s="271"/>
      <c r="K11" s="266"/>
      <c r="L11" s="266"/>
      <c r="M11" s="266"/>
      <c r="N11" s="266"/>
      <c r="O11" s="266"/>
      <c r="P11" s="266"/>
      <c r="Q11" s="266"/>
      <c r="R11" s="266"/>
      <c r="S11" s="266"/>
    </row>
    <row r="12" spans="1:19" ht="15.5" thickTop="1" thickBot="1" x14ac:dyDescent="0.4">
      <c r="A12" s="271"/>
      <c r="B12" s="271"/>
      <c r="C12" s="271"/>
      <c r="D12" s="271"/>
      <c r="E12" s="271"/>
      <c r="F12" s="271"/>
      <c r="G12" s="271"/>
      <c r="H12" s="271"/>
      <c r="I12" s="271"/>
      <c r="K12" s="266"/>
      <c r="L12" s="266"/>
      <c r="M12" s="266"/>
      <c r="N12" s="266"/>
      <c r="O12" s="266"/>
      <c r="P12" s="266"/>
      <c r="Q12" s="266"/>
      <c r="R12" s="266"/>
      <c r="S12" s="266"/>
    </row>
    <row r="13" spans="1:19" ht="15.5" thickTop="1" thickBot="1" x14ac:dyDescent="0.4">
      <c r="A13" s="271"/>
      <c r="B13" s="271"/>
      <c r="C13" s="271"/>
      <c r="D13" s="271"/>
      <c r="E13" s="271"/>
      <c r="F13" s="271"/>
      <c r="G13" s="271"/>
      <c r="H13" s="271"/>
      <c r="I13" s="271"/>
      <c r="K13" s="266"/>
      <c r="L13" s="266"/>
      <c r="M13" s="266"/>
      <c r="N13" s="266"/>
      <c r="O13" s="266"/>
      <c r="P13" s="266"/>
      <c r="Q13" s="266"/>
      <c r="R13" s="266"/>
      <c r="S13" s="266"/>
    </row>
    <row r="14" spans="1:19" ht="15.5" thickTop="1" thickBot="1" x14ac:dyDescent="0.4">
      <c r="A14" s="271"/>
      <c r="B14" s="271"/>
      <c r="C14" s="271"/>
      <c r="D14" s="271"/>
      <c r="E14" s="271"/>
      <c r="F14" s="271"/>
      <c r="G14" s="271"/>
      <c r="H14" s="271"/>
      <c r="I14" s="271"/>
      <c r="K14" s="266"/>
      <c r="L14" s="266"/>
      <c r="M14" s="266"/>
      <c r="N14" s="266"/>
      <c r="O14" s="266"/>
      <c r="P14" s="266"/>
      <c r="Q14" s="266"/>
      <c r="R14" s="266"/>
      <c r="S14" s="266"/>
    </row>
    <row r="15" spans="1:19" ht="15.5" thickTop="1" thickBot="1" x14ac:dyDescent="0.4">
      <c r="A15" s="271"/>
      <c r="B15" s="271"/>
      <c r="C15" s="271"/>
      <c r="D15" s="271"/>
      <c r="E15" s="271"/>
      <c r="F15" s="271"/>
      <c r="G15" s="271"/>
      <c r="H15" s="271"/>
      <c r="I15" s="271"/>
      <c r="K15" s="266"/>
      <c r="L15" s="266"/>
      <c r="M15" s="266"/>
      <c r="N15" s="266"/>
      <c r="O15" s="266"/>
      <c r="P15" s="266"/>
      <c r="Q15" s="266"/>
      <c r="R15" s="266"/>
      <c r="S15" s="266"/>
    </row>
    <row r="16" spans="1:19" ht="15.5" thickTop="1" thickBot="1" x14ac:dyDescent="0.4">
      <c r="A16" s="271"/>
      <c r="B16" s="271"/>
      <c r="C16" s="271"/>
      <c r="D16" s="271"/>
      <c r="E16" s="271"/>
      <c r="F16" s="271"/>
      <c r="G16" s="271"/>
      <c r="H16" s="271"/>
      <c r="I16" s="271"/>
      <c r="K16" s="266"/>
      <c r="L16" s="266"/>
      <c r="M16" s="266"/>
      <c r="N16" s="266"/>
      <c r="O16" s="266"/>
      <c r="P16" s="266"/>
      <c r="Q16" s="266"/>
      <c r="R16" s="266"/>
      <c r="S16" s="266"/>
    </row>
    <row r="17" spans="1:19" ht="15.5" thickTop="1" thickBot="1" x14ac:dyDescent="0.4">
      <c r="A17" s="271"/>
      <c r="B17" s="271"/>
      <c r="C17" s="271"/>
      <c r="D17" s="271"/>
      <c r="E17" s="271"/>
      <c r="F17" s="271"/>
      <c r="G17" s="271"/>
      <c r="H17" s="271"/>
      <c r="I17" s="271"/>
      <c r="K17" s="266"/>
      <c r="L17" s="266"/>
      <c r="M17" s="266"/>
      <c r="N17" s="266"/>
      <c r="O17" s="266"/>
      <c r="P17" s="266"/>
      <c r="Q17" s="266"/>
      <c r="R17" s="266"/>
      <c r="S17" s="266"/>
    </row>
    <row r="18" spans="1:19" ht="15.5" thickTop="1" thickBot="1" x14ac:dyDescent="0.4">
      <c r="A18" s="271"/>
      <c r="B18" s="271"/>
      <c r="C18" s="271"/>
      <c r="D18" s="271"/>
      <c r="E18" s="271"/>
      <c r="F18" s="271"/>
      <c r="G18" s="271"/>
      <c r="H18" s="271"/>
      <c r="I18" s="271"/>
      <c r="K18" s="266"/>
      <c r="L18" s="266"/>
      <c r="M18" s="266"/>
      <c r="N18" s="266"/>
      <c r="O18" s="266"/>
      <c r="P18" s="266"/>
      <c r="Q18" s="266"/>
      <c r="R18" s="266"/>
      <c r="S18" s="266"/>
    </row>
    <row r="19" spans="1:19" ht="15.5" thickTop="1" thickBot="1" x14ac:dyDescent="0.4">
      <c r="A19" s="271"/>
      <c r="B19" s="271"/>
      <c r="C19" s="271"/>
      <c r="D19" s="271"/>
      <c r="E19" s="271"/>
      <c r="F19" s="271"/>
      <c r="G19" s="271"/>
      <c r="H19" s="271"/>
      <c r="I19" s="271"/>
      <c r="K19" s="266"/>
      <c r="L19" s="266"/>
      <c r="M19" s="266"/>
      <c r="N19" s="266"/>
      <c r="O19" s="266"/>
      <c r="P19" s="266"/>
      <c r="Q19" s="266"/>
      <c r="R19" s="266"/>
      <c r="S19" s="266"/>
    </row>
    <row r="20" spans="1:19" ht="15.5" thickTop="1" thickBot="1" x14ac:dyDescent="0.4"/>
    <row r="21" spans="1:19" ht="15.5" thickTop="1" thickBot="1" x14ac:dyDescent="0.4">
      <c r="A21" s="267" t="s">
        <v>165</v>
      </c>
      <c r="B21" s="267"/>
      <c r="C21" s="267"/>
      <c r="D21" s="267"/>
      <c r="E21" s="267"/>
      <c r="F21" s="267"/>
      <c r="G21" s="267"/>
      <c r="H21" s="267"/>
      <c r="I21" s="267"/>
      <c r="K21" s="269" t="s">
        <v>166</v>
      </c>
      <c r="L21" s="269"/>
      <c r="M21" s="269"/>
      <c r="N21" s="269"/>
      <c r="O21" s="269"/>
      <c r="P21" s="269"/>
      <c r="Q21" s="269"/>
      <c r="R21" s="269"/>
      <c r="S21" s="269"/>
    </row>
    <row r="22" spans="1:19" ht="15.5" thickTop="1" thickBot="1" x14ac:dyDescent="0.4"/>
    <row r="23" spans="1:19" ht="15.5" thickTop="1" thickBot="1" x14ac:dyDescent="0.4">
      <c r="A23" s="268" t="s">
        <v>204</v>
      </c>
      <c r="B23" s="268"/>
      <c r="C23" s="268"/>
      <c r="D23" s="268"/>
      <c r="E23" s="268"/>
      <c r="F23" s="268"/>
      <c r="G23" s="268"/>
      <c r="H23" s="268"/>
      <c r="I23" s="268"/>
      <c r="K23" s="270" t="s">
        <v>222</v>
      </c>
      <c r="L23" s="270"/>
      <c r="M23" s="270"/>
      <c r="N23" s="270"/>
      <c r="O23" s="270"/>
      <c r="P23" s="270"/>
      <c r="Q23" s="270"/>
      <c r="R23" s="270"/>
      <c r="S23" s="270"/>
    </row>
    <row r="24" spans="1:19" ht="15.5" thickTop="1" thickBot="1" x14ac:dyDescent="0.4">
      <c r="A24" s="268"/>
      <c r="B24" s="268"/>
      <c r="C24" s="268"/>
      <c r="D24" s="268"/>
      <c r="E24" s="268"/>
      <c r="F24" s="268"/>
      <c r="G24" s="268"/>
      <c r="H24" s="268"/>
      <c r="I24" s="268"/>
      <c r="K24" s="270"/>
      <c r="L24" s="270"/>
      <c r="M24" s="270"/>
      <c r="N24" s="270"/>
      <c r="O24" s="270"/>
      <c r="P24" s="270"/>
      <c r="Q24" s="270"/>
      <c r="R24" s="270"/>
      <c r="S24" s="270"/>
    </row>
    <row r="25" spans="1:19" ht="15.5" thickTop="1" thickBot="1" x14ac:dyDescent="0.4">
      <c r="A25" s="268"/>
      <c r="B25" s="268"/>
      <c r="C25" s="268"/>
      <c r="D25" s="268"/>
      <c r="E25" s="268"/>
      <c r="F25" s="268"/>
      <c r="G25" s="268"/>
      <c r="H25" s="268"/>
      <c r="I25" s="268"/>
      <c r="K25" s="270"/>
      <c r="L25" s="270"/>
      <c r="M25" s="270"/>
      <c r="N25" s="270"/>
      <c r="O25" s="270"/>
      <c r="P25" s="270"/>
      <c r="Q25" s="270"/>
      <c r="R25" s="270"/>
      <c r="S25" s="270"/>
    </row>
    <row r="26" spans="1:19" ht="15.5" thickTop="1" thickBot="1" x14ac:dyDescent="0.4">
      <c r="A26" s="268"/>
      <c r="B26" s="268"/>
      <c r="C26" s="268"/>
      <c r="D26" s="268"/>
      <c r="E26" s="268"/>
      <c r="F26" s="268"/>
      <c r="G26" s="268"/>
      <c r="H26" s="268"/>
      <c r="I26" s="268"/>
      <c r="K26" s="270"/>
      <c r="L26" s="270"/>
      <c r="M26" s="270"/>
      <c r="N26" s="270"/>
      <c r="O26" s="270"/>
      <c r="P26" s="270"/>
      <c r="Q26" s="270"/>
      <c r="R26" s="270"/>
      <c r="S26" s="270"/>
    </row>
    <row r="27" spans="1:19" ht="15.5" thickTop="1" thickBot="1" x14ac:dyDescent="0.4">
      <c r="A27" s="268"/>
      <c r="B27" s="268"/>
      <c r="C27" s="268"/>
      <c r="D27" s="268"/>
      <c r="E27" s="268"/>
      <c r="F27" s="268"/>
      <c r="G27" s="268"/>
      <c r="H27" s="268"/>
      <c r="I27" s="268"/>
      <c r="K27" s="270"/>
      <c r="L27" s="270"/>
      <c r="M27" s="270"/>
      <c r="N27" s="270"/>
      <c r="O27" s="270"/>
      <c r="P27" s="270"/>
      <c r="Q27" s="270"/>
      <c r="R27" s="270"/>
      <c r="S27" s="270"/>
    </row>
    <row r="28" spans="1:19" ht="15.5" thickTop="1" thickBot="1" x14ac:dyDescent="0.4">
      <c r="A28" s="268"/>
      <c r="B28" s="268"/>
      <c r="C28" s="268"/>
      <c r="D28" s="268"/>
      <c r="E28" s="268"/>
      <c r="F28" s="268"/>
      <c r="G28" s="268"/>
      <c r="H28" s="268"/>
      <c r="I28" s="268"/>
      <c r="K28" s="270"/>
      <c r="L28" s="270"/>
      <c r="M28" s="270"/>
      <c r="N28" s="270"/>
      <c r="O28" s="270"/>
      <c r="P28" s="270"/>
      <c r="Q28" s="270"/>
      <c r="R28" s="270"/>
      <c r="S28" s="270"/>
    </row>
    <row r="29" spans="1:19" ht="15.5" thickTop="1" thickBot="1" x14ac:dyDescent="0.4">
      <c r="A29" s="268"/>
      <c r="B29" s="268"/>
      <c r="C29" s="268"/>
      <c r="D29" s="268"/>
      <c r="E29" s="268"/>
      <c r="F29" s="268"/>
      <c r="G29" s="268"/>
      <c r="H29" s="268"/>
      <c r="I29" s="268"/>
      <c r="K29" s="270"/>
      <c r="L29" s="270"/>
      <c r="M29" s="270"/>
      <c r="N29" s="270"/>
      <c r="O29" s="270"/>
      <c r="P29" s="270"/>
      <c r="Q29" s="270"/>
      <c r="R29" s="270"/>
      <c r="S29" s="270"/>
    </row>
    <row r="30" spans="1:19" ht="15.5" thickTop="1" thickBot="1" x14ac:dyDescent="0.4">
      <c r="A30" s="268"/>
      <c r="B30" s="268"/>
      <c r="C30" s="268"/>
      <c r="D30" s="268"/>
      <c r="E30" s="268"/>
      <c r="F30" s="268"/>
      <c r="G30" s="268"/>
      <c r="H30" s="268"/>
      <c r="I30" s="268"/>
      <c r="K30" s="270"/>
      <c r="L30" s="270"/>
      <c r="M30" s="270"/>
      <c r="N30" s="270"/>
      <c r="O30" s="270"/>
      <c r="P30" s="270"/>
      <c r="Q30" s="270"/>
      <c r="R30" s="270"/>
      <c r="S30" s="270"/>
    </row>
    <row r="31" spans="1:19" ht="15.5" thickTop="1" thickBot="1" x14ac:dyDescent="0.4">
      <c r="A31" s="268"/>
      <c r="B31" s="268"/>
      <c r="C31" s="268"/>
      <c r="D31" s="268"/>
      <c r="E31" s="268"/>
      <c r="F31" s="268"/>
      <c r="G31" s="268"/>
      <c r="H31" s="268"/>
      <c r="I31" s="268"/>
      <c r="K31" s="270"/>
      <c r="L31" s="270"/>
      <c r="M31" s="270"/>
      <c r="N31" s="270"/>
      <c r="O31" s="270"/>
      <c r="P31" s="270"/>
      <c r="Q31" s="270"/>
      <c r="R31" s="270"/>
      <c r="S31" s="270"/>
    </row>
    <row r="32" spans="1:19" ht="15.5" thickTop="1" thickBot="1" x14ac:dyDescent="0.4">
      <c r="A32" s="268"/>
      <c r="B32" s="268"/>
      <c r="C32" s="268"/>
      <c r="D32" s="268"/>
      <c r="E32" s="268"/>
      <c r="F32" s="268"/>
      <c r="G32" s="268"/>
      <c r="H32" s="268"/>
      <c r="I32" s="268"/>
      <c r="K32" s="270"/>
      <c r="L32" s="270"/>
      <c r="M32" s="270"/>
      <c r="N32" s="270"/>
      <c r="O32" s="270"/>
      <c r="P32" s="270"/>
      <c r="Q32" s="270"/>
      <c r="R32" s="270"/>
      <c r="S32" s="270"/>
    </row>
    <row r="33" spans="1:19" ht="15.5" thickTop="1" thickBot="1" x14ac:dyDescent="0.4">
      <c r="A33" s="268"/>
      <c r="B33" s="268"/>
      <c r="C33" s="268"/>
      <c r="D33" s="268"/>
      <c r="E33" s="268"/>
      <c r="F33" s="268"/>
      <c r="G33" s="268"/>
      <c r="H33" s="268"/>
      <c r="I33" s="268"/>
      <c r="K33" s="270"/>
      <c r="L33" s="270"/>
      <c r="M33" s="270"/>
      <c r="N33" s="270"/>
      <c r="O33" s="270"/>
      <c r="P33" s="270"/>
      <c r="Q33" s="270"/>
      <c r="R33" s="270"/>
      <c r="S33" s="270"/>
    </row>
    <row r="34" spans="1:19" ht="15.5" thickTop="1" thickBot="1" x14ac:dyDescent="0.4">
      <c r="A34" s="268"/>
      <c r="B34" s="268"/>
      <c r="C34" s="268"/>
      <c r="D34" s="268"/>
      <c r="E34" s="268"/>
      <c r="F34" s="268"/>
      <c r="G34" s="268"/>
      <c r="H34" s="268"/>
      <c r="I34" s="268"/>
      <c r="K34" s="270"/>
      <c r="L34" s="270"/>
      <c r="M34" s="270"/>
      <c r="N34" s="270"/>
      <c r="O34" s="270"/>
      <c r="P34" s="270"/>
      <c r="Q34" s="270"/>
      <c r="R34" s="270"/>
      <c r="S34" s="270"/>
    </row>
    <row r="35" spans="1:19" ht="15.5" thickTop="1" thickBot="1" x14ac:dyDescent="0.4">
      <c r="A35" s="268"/>
      <c r="B35" s="268"/>
      <c r="C35" s="268"/>
      <c r="D35" s="268"/>
      <c r="E35" s="268"/>
      <c r="F35" s="268"/>
      <c r="G35" s="268"/>
      <c r="H35" s="268"/>
      <c r="I35" s="268"/>
      <c r="K35" s="270"/>
      <c r="L35" s="270"/>
      <c r="M35" s="270"/>
      <c r="N35" s="270"/>
      <c r="O35" s="270"/>
      <c r="P35" s="270"/>
      <c r="Q35" s="270"/>
      <c r="R35" s="270"/>
      <c r="S35" s="270"/>
    </row>
    <row r="36" spans="1:19" ht="15.5" thickTop="1" thickBot="1" x14ac:dyDescent="0.4">
      <c r="A36" s="268"/>
      <c r="B36" s="268"/>
      <c r="C36" s="268"/>
      <c r="D36" s="268"/>
      <c r="E36" s="268"/>
      <c r="F36" s="268"/>
      <c r="G36" s="268"/>
      <c r="H36" s="268"/>
      <c r="I36" s="268"/>
      <c r="K36" s="270"/>
      <c r="L36" s="270"/>
      <c r="M36" s="270"/>
      <c r="N36" s="270"/>
      <c r="O36" s="270"/>
      <c r="P36" s="270"/>
      <c r="Q36" s="270"/>
      <c r="R36" s="270"/>
      <c r="S36" s="270"/>
    </row>
    <row r="37" spans="1:19" ht="15.5" thickTop="1" thickBot="1" x14ac:dyDescent="0.4">
      <c r="A37" s="268"/>
      <c r="B37" s="268"/>
      <c r="C37" s="268"/>
      <c r="D37" s="268"/>
      <c r="E37" s="268"/>
      <c r="F37" s="268"/>
      <c r="G37" s="268"/>
      <c r="H37" s="268"/>
      <c r="I37" s="268"/>
      <c r="K37" s="270"/>
      <c r="L37" s="270"/>
      <c r="M37" s="270"/>
      <c r="N37" s="270"/>
      <c r="O37" s="270"/>
      <c r="P37" s="270"/>
      <c r="Q37" s="270"/>
      <c r="R37" s="270"/>
      <c r="S37" s="270"/>
    </row>
    <row r="38" spans="1:19" ht="15.5" thickTop="1" thickBot="1" x14ac:dyDescent="0.4">
      <c r="A38" s="268"/>
      <c r="B38" s="268"/>
      <c r="C38" s="268"/>
      <c r="D38" s="268"/>
      <c r="E38" s="268"/>
      <c r="F38" s="268"/>
      <c r="G38" s="268"/>
      <c r="H38" s="268"/>
      <c r="I38" s="268"/>
      <c r="K38" s="270"/>
      <c r="L38" s="270"/>
      <c r="M38" s="270"/>
      <c r="N38" s="270"/>
      <c r="O38" s="270"/>
      <c r="P38" s="270"/>
      <c r="Q38" s="270"/>
      <c r="R38" s="270"/>
      <c r="S38" s="270"/>
    </row>
    <row r="39" spans="1:19" ht="15.5" thickTop="1" thickBot="1" x14ac:dyDescent="0.4">
      <c r="A39" s="268"/>
      <c r="B39" s="268"/>
      <c r="C39" s="268"/>
      <c r="D39" s="268"/>
      <c r="E39" s="268"/>
      <c r="F39" s="268"/>
      <c r="G39" s="268"/>
      <c r="H39" s="268"/>
      <c r="I39" s="268"/>
      <c r="K39" s="270"/>
      <c r="L39" s="270"/>
      <c r="M39" s="270"/>
      <c r="N39" s="270"/>
      <c r="O39" s="270"/>
      <c r="P39" s="270"/>
      <c r="Q39" s="270"/>
      <c r="R39" s="270"/>
      <c r="S39" s="270"/>
    </row>
    <row r="40" spans="1:19" ht="15.5" thickTop="1" thickBot="1" x14ac:dyDescent="0.4"/>
    <row r="41" spans="1:19" ht="15" customHeight="1" x14ac:dyDescent="0.35">
      <c r="A41" s="255" t="s">
        <v>223</v>
      </c>
      <c r="B41" s="256"/>
      <c r="C41" s="256"/>
      <c r="D41" s="256"/>
      <c r="E41" s="256"/>
      <c r="F41" s="256"/>
      <c r="G41" s="256"/>
      <c r="H41" s="256"/>
      <c r="I41" s="256"/>
      <c r="J41" s="256"/>
      <c r="K41" s="256"/>
      <c r="L41" s="256"/>
      <c r="M41" s="256"/>
      <c r="N41" s="256"/>
      <c r="O41" s="256"/>
      <c r="P41" s="256"/>
      <c r="Q41" s="256"/>
      <c r="R41" s="256"/>
      <c r="S41" s="257"/>
    </row>
    <row r="42" spans="1:19" x14ac:dyDescent="0.35">
      <c r="A42" s="258"/>
      <c r="B42" s="259"/>
      <c r="C42" s="259"/>
      <c r="D42" s="259"/>
      <c r="E42" s="259"/>
      <c r="F42" s="259"/>
      <c r="G42" s="259"/>
      <c r="H42" s="259"/>
      <c r="I42" s="259"/>
      <c r="J42" s="259"/>
      <c r="K42" s="259"/>
      <c r="L42" s="259"/>
      <c r="M42" s="259"/>
      <c r="N42" s="259"/>
      <c r="O42" s="259"/>
      <c r="P42" s="259"/>
      <c r="Q42" s="259"/>
      <c r="R42" s="259"/>
      <c r="S42" s="260"/>
    </row>
    <row r="43" spans="1:19" ht="15" thickBot="1" x14ac:dyDescent="0.4">
      <c r="A43" s="261"/>
      <c r="B43" s="262"/>
      <c r="C43" s="262"/>
      <c r="D43" s="262"/>
      <c r="E43" s="262"/>
      <c r="F43" s="262"/>
      <c r="G43" s="262"/>
      <c r="H43" s="262"/>
      <c r="I43" s="262"/>
      <c r="J43" s="262"/>
      <c r="K43" s="262"/>
      <c r="L43" s="262"/>
      <c r="M43" s="262"/>
      <c r="N43" s="262"/>
      <c r="O43" s="262"/>
      <c r="P43" s="262"/>
      <c r="Q43" s="262"/>
      <c r="R43" s="262"/>
      <c r="S43" s="263"/>
    </row>
  </sheetData>
  <sheetProtection algorithmName="SHA-512" hashValue="umuxacTyV/y1zNHMjhlChMKryBEKOlqpEo9Lut6AN422oMM7yOsYJKP1eF9wyi5eed4bQJwwIDlF4uFhN0pfMw==" saltValue="zd934nNlAhq5/uSwo0eYpw==" spinCount="100000" sheet="1" selectLockedCells="1"/>
  <mergeCells count="9">
    <mergeCell ref="A41:S43"/>
    <mergeCell ref="A1:I1"/>
    <mergeCell ref="K1:S1"/>
    <mergeCell ref="K3:S19"/>
    <mergeCell ref="A21:I21"/>
    <mergeCell ref="A23:I39"/>
    <mergeCell ref="K21:S21"/>
    <mergeCell ref="K23:S39"/>
    <mergeCell ref="A3:I19"/>
  </mergeCell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C40"/>
  <sheetViews>
    <sheetView showGridLines="0" tabSelected="1" zoomScale="99" zoomScaleNormal="80" workbookViewId="0">
      <selection activeCell="I14" sqref="I14"/>
    </sheetView>
  </sheetViews>
  <sheetFormatPr baseColWidth="10" defaultColWidth="11.453125" defaultRowHeight="14.5" x14ac:dyDescent="0.35"/>
  <cols>
    <col min="1" max="1" width="11.453125" style="109"/>
    <col min="2" max="2" width="13.7265625" style="109" customWidth="1"/>
    <col min="3" max="5" width="11.453125" style="109"/>
    <col min="6" max="6" width="21.453125" style="109" customWidth="1"/>
    <col min="7" max="7" width="12.7265625" style="109" customWidth="1"/>
    <col min="8" max="8" width="46" style="109" customWidth="1"/>
    <col min="9" max="9" width="4.81640625" style="109" customWidth="1"/>
    <col min="10" max="10" width="11.453125" style="109"/>
    <col min="11" max="11" width="25.26953125" style="109" customWidth="1"/>
    <col min="12" max="12" width="11.453125" style="109"/>
    <col min="13" max="13" width="15.81640625" style="109" customWidth="1"/>
    <col min="14" max="14" width="13.26953125" style="109" customWidth="1"/>
    <col min="15" max="15" width="14.81640625" style="109" customWidth="1"/>
    <col min="16" max="16" width="11.453125" style="109" hidden="1" customWidth="1"/>
    <col min="17" max="17" width="26.7265625" style="109" hidden="1" customWidth="1"/>
    <col min="18" max="18" width="22" style="109" hidden="1" customWidth="1"/>
    <col min="19" max="19" width="11.81640625" style="109" hidden="1" customWidth="1"/>
    <col min="20" max="20" width="12.54296875" style="109" hidden="1" customWidth="1"/>
    <col min="21" max="21" width="22.26953125" style="109" hidden="1" customWidth="1"/>
    <col min="22" max="22" width="6.54296875" style="109" hidden="1" customWidth="1"/>
    <col min="23" max="23" width="8.1796875" style="109" hidden="1" customWidth="1"/>
    <col min="24" max="24" width="11.453125" style="109" hidden="1" customWidth="1"/>
    <col min="25" max="25" width="26.7265625" style="109" hidden="1" customWidth="1"/>
    <col min="26" max="26" width="5.81640625" style="109" hidden="1" customWidth="1"/>
    <col min="27" max="27" width="7" style="109" hidden="1" customWidth="1"/>
    <col min="28" max="28" width="11.453125" style="109" hidden="1" customWidth="1"/>
    <col min="29" max="29" width="11.453125" style="109" customWidth="1"/>
    <col min="30" max="16384" width="11.453125" style="109"/>
  </cols>
  <sheetData>
    <row r="1" spans="1:27" ht="15" thickBot="1" x14ac:dyDescent="0.4">
      <c r="A1" s="108"/>
    </row>
    <row r="2" spans="1:27" ht="15" thickBot="1" x14ac:dyDescent="0.4">
      <c r="B2" s="110" t="s">
        <v>110</v>
      </c>
      <c r="C2" s="111"/>
      <c r="D2" s="111"/>
      <c r="E2" s="112"/>
      <c r="F2" s="286" t="s">
        <v>121</v>
      </c>
      <c r="G2" s="287"/>
      <c r="H2" s="287"/>
      <c r="I2" s="287"/>
      <c r="J2" s="287"/>
      <c r="K2" s="287"/>
      <c r="L2" s="287"/>
      <c r="M2" s="287"/>
      <c r="N2" s="287"/>
      <c r="O2" s="288"/>
    </row>
    <row r="3" spans="1:27" ht="15" thickBot="1" x14ac:dyDescent="0.4">
      <c r="F3" s="289"/>
      <c r="G3" s="290"/>
      <c r="H3" s="290"/>
      <c r="I3" s="290"/>
      <c r="J3" s="290"/>
      <c r="K3" s="290"/>
      <c r="L3" s="290"/>
      <c r="M3" s="290"/>
      <c r="N3" s="290"/>
      <c r="O3" s="291"/>
    </row>
    <row r="4" spans="1:27" ht="15" thickBot="1" x14ac:dyDescent="0.4"/>
    <row r="5" spans="1:27" ht="15" thickBot="1" x14ac:dyDescent="0.4">
      <c r="B5" s="110" t="s">
        <v>160</v>
      </c>
      <c r="C5" s="111"/>
      <c r="D5" s="111"/>
      <c r="E5" s="112"/>
      <c r="F5" s="286" t="s">
        <v>161</v>
      </c>
      <c r="G5" s="287"/>
      <c r="H5" s="287"/>
      <c r="I5" s="287"/>
      <c r="J5" s="287"/>
      <c r="K5" s="287"/>
      <c r="L5" s="287"/>
      <c r="M5" s="287"/>
      <c r="N5" s="287"/>
      <c r="O5" s="288"/>
    </row>
    <row r="6" spans="1:27" ht="15" thickBot="1" x14ac:dyDescent="0.4">
      <c r="F6" s="289"/>
      <c r="G6" s="290"/>
      <c r="H6" s="290"/>
      <c r="I6" s="290"/>
      <c r="J6" s="290"/>
      <c r="K6" s="290"/>
      <c r="L6" s="290"/>
      <c r="M6" s="290"/>
      <c r="N6" s="290"/>
      <c r="O6" s="291"/>
    </row>
    <row r="7" spans="1:27" ht="15" thickBot="1" x14ac:dyDescent="0.4">
      <c r="A7" s="108"/>
      <c r="R7" s="113"/>
      <c r="S7" s="113"/>
      <c r="T7" s="113"/>
    </row>
    <row r="8" spans="1:27" ht="15.75" customHeight="1" thickBot="1" x14ac:dyDescent="0.4">
      <c r="A8" s="114"/>
      <c r="B8" s="115"/>
      <c r="C8" s="116"/>
      <c r="D8" s="116"/>
      <c r="E8" s="116"/>
      <c r="F8" s="117"/>
      <c r="G8" s="117"/>
      <c r="H8" s="117"/>
      <c r="I8" s="117"/>
      <c r="J8" s="117"/>
      <c r="K8" s="117"/>
      <c r="L8" s="117"/>
      <c r="M8" s="117"/>
      <c r="Q8" s="118" t="s">
        <v>150</v>
      </c>
      <c r="R8" s="119"/>
      <c r="S8" s="113"/>
      <c r="T8" s="113"/>
    </row>
    <row r="9" spans="1:27" ht="30" customHeight="1" thickTop="1" thickBot="1" x14ac:dyDescent="0.5">
      <c r="A9" s="120"/>
      <c r="B9" s="121" t="s">
        <v>109</v>
      </c>
      <c r="C9" s="122"/>
      <c r="D9" s="122"/>
      <c r="L9" s="123"/>
      <c r="M9" s="280" t="s">
        <v>154</v>
      </c>
      <c r="N9" s="280"/>
      <c r="O9" s="281"/>
      <c r="Q9" s="124" t="s">
        <v>148</v>
      </c>
      <c r="R9" s="125">
        <f>IF(MAX(O13:O17)&gt;=0.2, 1, 0)</f>
        <v>0</v>
      </c>
      <c r="S9" s="113"/>
      <c r="T9" s="113"/>
    </row>
    <row r="10" spans="1:27" ht="15.5" thickTop="1" thickBot="1" x14ac:dyDescent="0.4">
      <c r="A10" s="126"/>
      <c r="C10" s="122"/>
      <c r="D10" s="127"/>
      <c r="E10" s="128"/>
      <c r="F10" s="127"/>
      <c r="G10" s="127"/>
      <c r="H10" s="129" t="s">
        <v>143</v>
      </c>
      <c r="I10" s="130" t="s">
        <v>140</v>
      </c>
      <c r="J10" s="131" t="s">
        <v>142</v>
      </c>
      <c r="K10" s="132" t="s">
        <v>144</v>
      </c>
      <c r="L10" s="126"/>
      <c r="M10" s="282"/>
      <c r="N10" s="282"/>
      <c r="O10" s="283"/>
      <c r="Q10" s="124" t="s">
        <v>149</v>
      </c>
      <c r="R10" s="125">
        <f>IF(MAX(O18:O19)&gt;0.2, 1, 0)</f>
        <v>0</v>
      </c>
      <c r="Y10" s="108"/>
    </row>
    <row r="11" spans="1:27" ht="14.25" customHeight="1" thickBot="1" x14ac:dyDescent="0.4">
      <c r="A11" s="126"/>
      <c r="B11" s="133" t="s">
        <v>44</v>
      </c>
      <c r="C11" s="122"/>
      <c r="D11" s="122"/>
      <c r="E11" s="302" t="str">
        <f>IF(OR(Auswahl!$G$19=1,Auswahl!$G$19=2, Auswahl!$G$19=4),"Bei mehreren Analysenwerten Mittelwert verwenden.", "Bei mehreren Messwerten Mittelwert verwenden.")</f>
        <v>Bei mehreren Analysenwerten Mittelwert verwenden.</v>
      </c>
      <c r="F11" s="302"/>
      <c r="H11" s="134" t="str">
        <f>IF(Auswahl!$G$19=1,IF(Auswahl!A27="",IF(NOT(AND(I11="", J11="")), "Dateneintrag wird ignoriert", ""),Auswahl!A27),IF(Auswahl!$G$19=2, IF(Auswahl!E27="", IF(NOT(AND(I11="", J11="")), "Dateneintrag wird ignoriert", ""), Auswahl!E27), IF(Auswahl!$G$19=3,IF(Auswahl!H27="",IF(NOT(AND(I11="", J11="")), "Dateneintrag wird ignoriert", ""),Auswahl!H27),IF(Auswahl!$G$19=4,IF(Auswahl!K27="",IF(NOT(AND(I11="", J11="")), "Dateneintrag wird ignoriert", ""),Auswahl!K27)))))</f>
        <v>U-238</v>
      </c>
      <c r="I11" s="77"/>
      <c r="J11" s="72"/>
      <c r="K11" s="135" t="str">
        <f>IF(OR(Auswahl!$G$19=1,Auswahl!$G$19=2),IF(Auswahl!B27="",IF(NOT(AND(I11="", J11="")), "Dateneintrag wird ignoriert", ""),Auswahl!B27),IF(Auswahl!$G$19=3,IF(Auswahl!I27="",IF(NOT(AND(I11="", J11="")), "Dateneintrag wird ignoriert", ""),Auswahl!I27),IF(Auswahl!$G$19=4,IF(Auswahl!L27="",IF(NOT(AND(I11="", J11="")), "Dateneintrag wird ignoriert", ""),Auswahl!L27))))</f>
        <v>Bq/g (Trockenmasse)</v>
      </c>
      <c r="L11" s="126"/>
      <c r="M11" s="284"/>
      <c r="N11" s="284"/>
      <c r="O11" s="285"/>
      <c r="Q11" s="136" t="s">
        <v>146</v>
      </c>
      <c r="R11" s="137">
        <f>IF(R9=0,1,IF(O16&gt;5*MAX(O13:O15),IF(NOT(Auswahl!G11=4),0.5,IF(O16&gt;=20*MAX(O13:O15),0.1,IF(O16&gt;=10*MAX(O13:O15),0.2,0.3))),1))</f>
        <v>1</v>
      </c>
    </row>
    <row r="12" spans="1:27" ht="15.75" customHeight="1" thickBot="1" x14ac:dyDescent="0.4">
      <c r="A12" s="126"/>
      <c r="B12" s="122"/>
      <c r="C12" s="122"/>
      <c r="D12" s="122"/>
      <c r="E12" s="302"/>
      <c r="F12" s="302"/>
      <c r="H12" s="134" t="str">
        <f>IF(Auswahl!$G$19=1,IF(Auswahl!A28="",IF(NOT(AND(I12="", J12="")), "Dateneintrag wird ignoriert", ""),Auswahl!A28),IF(Auswahl!$G$19=2, IF(Auswahl!E28="", IF(NOT(AND(I12="", J12="")), "Dateneintrag wird ignoriert", ""), Auswahl!E28), IF(Auswahl!$G$19=3,IF(Auswahl!H28="",IF(NOT(AND(I12="", J12="")), "Dateneintrag wird ignoriert", ""),Auswahl!H28),IF(Auswahl!$G$19=4,IF(Auswahl!K28="",IF(NOT(AND(I12="", J12="")), "Dateneintrag wird ignoriert", ""),Auswahl!K28)))))</f>
        <v>Ra-226</v>
      </c>
      <c r="I12" s="78"/>
      <c r="J12" s="73"/>
      <c r="K12" s="135" t="str">
        <f>IF(OR(Auswahl!$G$19=1,Auswahl!$G$19=2),IF(Auswahl!B28="",IF(NOT(AND(I12="", J12="")), "Dateneintrag wird ignoriert", ""),Auswahl!B28),IF(Auswahl!$G$19=3,IF(Auswahl!I28="",IF(NOT(AND(I12="", J12="")), "Dateneintrag wird ignoriert", ""),Auswahl!I28),IF(Auswahl!$G$19=4,IF(Auswahl!L28="",IF(NOT(AND(I12="", J12="")), "Dateneintrag wird ignoriert", ""),Auswahl!L28))))</f>
        <v>Bq/g (Trockenmasse)</v>
      </c>
      <c r="L12" s="126"/>
      <c r="M12" s="138"/>
      <c r="N12" s="139"/>
      <c r="O12" s="140"/>
    </row>
    <row r="13" spans="1:27" ht="15" thickBot="1" x14ac:dyDescent="0.4">
      <c r="A13" s="126"/>
      <c r="B13" s="122"/>
      <c r="C13" s="122"/>
      <c r="D13" s="122"/>
      <c r="E13" s="302"/>
      <c r="F13" s="302"/>
      <c r="G13" s="126"/>
      <c r="H13" s="134" t="str">
        <f>IF(Auswahl!$G$19=1,IF(Auswahl!A29="",IF(NOT(AND(I13="", J13="")), "Dateneintrag wird ignoriert", ""),Auswahl!A29),IF(Auswahl!$G$19=2, IF(Auswahl!E29="", IF(NOT(AND(I13="", J13="")), "Dateneintrag wird ignoriert", ""), Auswahl!E29), IF(Auswahl!$G$19=3,IF(Auswahl!H29="",IF(NOT(AND(I13="", J13="")), "Dateneintrag wird ignoriert", ""),Auswahl!H29),IF(Auswahl!$G$19=4,IF(Auswahl!K29="",IF(NOT(AND(I13="", J13="")), "Dateneintrag wird ignoriert", ""),Auswahl!K29)))))</f>
        <v>Pb-210</v>
      </c>
      <c r="I13" s="79"/>
      <c r="J13" s="73"/>
      <c r="K13" s="141" t="str">
        <f>IF(OR(Auswahl!$G$19=1,Auswahl!$G$19=2),IF(Auswahl!B29="",IF(NOT(AND(I13="", J13="")), "Dateneintrag wird ignoriert", ""),Auswahl!B29),IF(Auswahl!$G$19=3,IF(Auswahl!I29="",IF(NOT(AND(I13="", J13="")), "Dateneintrag wird ignoriert", ""),Auswahl!I29),IF(Auswahl!$G$19=4,IF(Auswahl!L29="",IF(NOT(AND(I13="", J13="")), "Dateneintrag wird ignoriert", ""),Auswahl!L29))))</f>
        <v>Bq/g (Trockenmasse)</v>
      </c>
      <c r="L13" s="126"/>
      <c r="M13" s="142" t="s">
        <v>0</v>
      </c>
      <c r="N13" s="143" t="s">
        <v>10</v>
      </c>
      <c r="O13" s="144" t="str">
        <f>IF(Auswahl!$G$4=1, 'Filtersand,-kies'!D16, IF(Auswahl!$G$4=2, Kornaktivkohle!D16, Harze!D16))</f>
        <v/>
      </c>
      <c r="Q13" s="145" t="s">
        <v>108</v>
      </c>
      <c r="R13" s="146"/>
      <c r="S13" s="147" t="s">
        <v>78</v>
      </c>
      <c r="T13" s="122"/>
      <c r="U13" s="145" t="s">
        <v>11</v>
      </c>
      <c r="V13" s="148"/>
      <c r="W13" s="147" t="s">
        <v>78</v>
      </c>
      <c r="X13" s="122"/>
      <c r="Y13" s="145" t="s">
        <v>7</v>
      </c>
      <c r="Z13" s="146"/>
      <c r="AA13" s="149" t="s">
        <v>78</v>
      </c>
    </row>
    <row r="14" spans="1:27" x14ac:dyDescent="0.35">
      <c r="A14" s="126"/>
      <c r="B14" s="150"/>
      <c r="C14" s="122"/>
      <c r="D14" s="122"/>
      <c r="E14" s="122"/>
      <c r="F14" s="122"/>
      <c r="G14" s="126"/>
      <c r="H14" s="134" t="str">
        <f>IF(Auswahl!$G$19=1,IF(Auswahl!A30="",IF(NOT(AND(I14="", J14="")), "Dateneintrag wird ignoriert", ""),Auswahl!A30),IF(Auswahl!$G$19=2, IF(Auswahl!E30="", IF(NOT(AND(I14="", J14="")), "Dateneintrag wird ignoriert", ""), Auswahl!E30), IF(Auswahl!$G$19=3,IF(Auswahl!H30="",IF(NOT(AND(I14="", J14="")), "Dateneintrag wird ignoriert", ""),Auswahl!H30),IF(Auswahl!$G$19=4,IF(Auswahl!K30="",IF(NOT(AND(I14="", J14="")), "Dateneintrag wird ignoriert", ""),Auswahl!K30)))))</f>
        <v>Ra-228</v>
      </c>
      <c r="I14" s="79"/>
      <c r="J14" s="74"/>
      <c r="K14" s="141" t="str">
        <f>IF(OR(Auswahl!$G$19=1,Auswahl!$G$19=2),IF(Auswahl!B30="",IF(NOT(AND(I14="", J14="")), "Dateneintrag wird ignoriert", ""),Auswahl!B30),IF(Auswahl!$G$19=3,IF(Auswahl!I30="",IF(NOT(AND(I14="", J14="")), "Dateneintrag wird ignoriert", ""),Auswahl!I30),IF(Auswahl!$G$19=4,IF(Auswahl!L30="",IF(NOT(AND(I14="", J14="")), "Dateneintrag wird ignoriert", ""),Auswahl!L30))))</f>
        <v>Bq/g (Trockenmasse)</v>
      </c>
      <c r="L14" s="126"/>
      <c r="M14" s="142" t="s">
        <v>1</v>
      </c>
      <c r="N14" s="143" t="s">
        <v>10</v>
      </c>
      <c r="O14" s="144" t="str">
        <f>IF(Auswahl!$G$4=1, 'Filtersand,-kies'!D17, IF(Auswahl!$G$4=2, Kornaktivkohle!D17, Harze!D17))</f>
        <v/>
      </c>
      <c r="Q14" s="151" t="s">
        <v>0</v>
      </c>
      <c r="R14" s="139" t="s">
        <v>10</v>
      </c>
      <c r="S14" s="152" t="str">
        <f>IF(OR(Auswahl!$G$19=1, Auswahl!$G$19=2), IF(ISNUMBER(Hauptmenü!J11), J11, ""), "")</f>
        <v/>
      </c>
      <c r="T14" s="122"/>
      <c r="U14" s="151" t="s">
        <v>127</v>
      </c>
      <c r="V14" s="139" t="s">
        <v>12</v>
      </c>
      <c r="W14" s="152" t="str">
        <f>IF(Auswahl!$G$19=3, IF(ISNUMBER(Hauptmenü!J11), J11, ""), "")</f>
        <v/>
      </c>
      <c r="X14" s="122"/>
      <c r="Y14" s="151" t="s">
        <v>8</v>
      </c>
      <c r="Z14" s="139" t="s">
        <v>13</v>
      </c>
      <c r="AA14" s="153" t="str">
        <f>IF(Auswahl!$G$19=4, IF(ISNUMBER(Hauptmenü!J11), J11, ""), "")</f>
        <v/>
      </c>
    </row>
    <row r="15" spans="1:27" x14ac:dyDescent="0.35">
      <c r="A15" s="126"/>
      <c r="B15" s="133" t="s">
        <v>162</v>
      </c>
      <c r="C15" s="122"/>
      <c r="D15" s="122"/>
      <c r="E15" s="122"/>
      <c r="F15" s="122"/>
      <c r="G15" s="126"/>
      <c r="H15" s="134" t="str">
        <f>IF(Auswahl!$G$19=1,IF(Auswahl!A31="",IF(NOT(AND(I15="", J15="")), "Dateneintrag wird ignoriert", ""),Auswahl!A31),IF(Auswahl!$G$19=2, IF(Auswahl!E31="", IF(NOT(AND(I15="", J15="")), "Dateneintrag wird ignoriert", ""), Auswahl!E31), IF(Auswahl!$G$19=3,IF(Auswahl!H31="",IF(NOT(AND(I15="", J15="")), "Dateneintrag wird ignoriert", ""),Auswahl!H31),IF(Auswahl!$G$19=4,IF(Auswahl!K31="",IF(NOT(AND(I15="", J15="")), "Dateneintrag wird ignoriert", ""),Auswahl!K31)))))</f>
        <v>Th-228</v>
      </c>
      <c r="I15" s="79"/>
      <c r="J15" s="74"/>
      <c r="K15" s="141" t="str">
        <f>IF(OR(Auswahl!$G$19=1,Auswahl!$G$19=2),IF(Auswahl!B31="",IF(NOT(AND(I15="", J15="")), "Dateneintrag wird ignoriert", ""),Auswahl!B31),IF(Auswahl!$G$19=3,IF(Auswahl!I31="",IF(NOT(AND(I15="", J15="")), "Dateneintrag wird ignoriert", ""),Auswahl!I31),IF(Auswahl!$G$19=4,IF(Auswahl!L31="",IF(NOT(AND(I15="", J15="")), "Dateneintrag wird ignoriert", ""),Auswahl!L31))))</f>
        <v>Bq/g (Trockenmasse)</v>
      </c>
      <c r="L15" s="126"/>
      <c r="M15" s="142" t="s">
        <v>2</v>
      </c>
      <c r="N15" s="143" t="s">
        <v>10</v>
      </c>
      <c r="O15" s="144" t="str">
        <f>IF(Auswahl!$G$4=1, 'Filtersand,-kies'!D18, IF(Auswahl!$G$4=2, Kornaktivkohle!D18, Harze!D18))</f>
        <v/>
      </c>
      <c r="Q15" s="151" t="s">
        <v>1</v>
      </c>
      <c r="R15" s="139" t="s">
        <v>10</v>
      </c>
      <c r="S15" s="154"/>
      <c r="T15" s="122"/>
      <c r="U15" s="151" t="s">
        <v>77</v>
      </c>
      <c r="V15" s="139" t="s">
        <v>12</v>
      </c>
      <c r="W15" s="152" t="str">
        <f>IF(Auswahl!$G$19=3, IF(ISNUMBER(Hauptmenü!J12), J12, ""), "")</f>
        <v/>
      </c>
      <c r="X15" s="122"/>
      <c r="Y15" s="151" t="s">
        <v>0</v>
      </c>
      <c r="Z15" s="139" t="s">
        <v>20</v>
      </c>
      <c r="AA15" s="153" t="str">
        <f>IF(Auswahl!$G$19=4, IF(ISNUMBER(Hauptmenü!J12), J12, ""), "")</f>
        <v/>
      </c>
    </row>
    <row r="16" spans="1:27" ht="15" thickBot="1" x14ac:dyDescent="0.4">
      <c r="A16" s="126"/>
      <c r="B16" s="122"/>
      <c r="C16" s="122"/>
      <c r="D16" s="122"/>
      <c r="E16" s="122"/>
      <c r="F16" s="122"/>
      <c r="G16" s="126"/>
      <c r="H16" s="134" t="str">
        <f>IF(Auswahl!$G$19=1,IF(Auswahl!A32="",IF(NOT(AND(I16="", J16="")), "Dateneintrag wird ignoriert", ""),Auswahl!A32),IF(Auswahl!$G$19=2, IF(Auswahl!E32="", IF(NOT(AND(I16="", J16="")), "Dateneintrag wird ignoriert", ""), Auswahl!E32), IF(Auswahl!$G$19=3,IF(Auswahl!H32="",IF(NOT(AND(I16="", J16="")), "Dateneintrag wird ignoriert", ""),Auswahl!H32),IF(Auswahl!$G$19=4,IF(Auswahl!K32="",IF(NOT(AND(I16="", J16="")), "Dateneintrag wird ignoriert", ""),Auswahl!K32)))))</f>
        <v/>
      </c>
      <c r="I16" s="79"/>
      <c r="J16" s="74"/>
      <c r="K16" s="141" t="str">
        <f>IF(OR(Auswahl!$G$19=1,Auswahl!$G$19=2),IF(Auswahl!B32="",IF(NOT(AND(I16="", J16="")), "Dateneintrag wird ignoriert", ""),Auswahl!B32),IF(Auswahl!$G$19=3,IF(Auswahl!I32="",IF(NOT(AND(I16="", J16="")), "Dateneintrag wird ignoriert", ""),Auswahl!I32),IF(Auswahl!$G$19=4,IF(Auswahl!L32="",IF(NOT(AND(I16="", J16="")), "Dateneintrag wird ignoriert", ""),Auswahl!L32))))</f>
        <v/>
      </c>
      <c r="L16" s="126"/>
      <c r="M16" s="142" t="s">
        <v>3</v>
      </c>
      <c r="N16" s="143" t="s">
        <v>10</v>
      </c>
      <c r="O16" s="144" t="str">
        <f>IF(Auswahl!$G$4=1, 'Filtersand,-kies'!D19, IF(Auswahl!$G$4=2, Kornaktivkohle!D19, Harze!D19))</f>
        <v/>
      </c>
      <c r="Q16" s="151" t="s">
        <v>2</v>
      </c>
      <c r="R16" s="139" t="s">
        <v>10</v>
      </c>
      <c r="S16" s="152" t="str">
        <f>IF(OR(Auswahl!$G$19=1, Auswahl!$G$19=2), IF(ISNUMBER(Hauptmenü!J12), J12, ""), "")</f>
        <v/>
      </c>
      <c r="T16" s="122"/>
      <c r="U16" s="155" t="s">
        <v>131</v>
      </c>
      <c r="V16" s="156" t="s">
        <v>12</v>
      </c>
      <c r="W16" s="157" t="str">
        <f>IF(Auswahl!$G$19=3, IF(ISNUMBER(Hauptmenü!J13), J13, ""), "")</f>
        <v/>
      </c>
      <c r="X16" s="122"/>
      <c r="Y16" s="151" t="s">
        <v>1</v>
      </c>
      <c r="Z16" s="139" t="s">
        <v>20</v>
      </c>
      <c r="AA16" s="158" t="str">
        <f>IF(Auswahl!$G$19=4, IF(ISNUMBER(Hauptmenü!J13), J13, ""), "")</f>
        <v/>
      </c>
    </row>
    <row r="17" spans="1:29" x14ac:dyDescent="0.35">
      <c r="A17" s="126"/>
      <c r="B17" s="122"/>
      <c r="C17" s="122"/>
      <c r="D17" s="122"/>
      <c r="E17" s="122"/>
      <c r="F17" s="122"/>
      <c r="G17" s="126"/>
      <c r="H17" s="134" t="str">
        <f>IF(Auswahl!$G$19=1,IF(Auswahl!A33="",IF(NOT(AND(I17="", J17="")), "Dateneintrag wird ignoriert", ""),Auswahl!A33),IF(Auswahl!$G$19=2, IF(Auswahl!E33="", IF(NOT(AND(I17="", J17="")), "Dateneintrag wird ignoriert", ""), Auswahl!E33), IF(Auswahl!$G$19=3,IF(Auswahl!H33="",IF(NOT(AND(I17="", J17="")), "Dateneintrag wird ignoriert", ""),Auswahl!H33),IF(Auswahl!$G$19=4,IF(Auswahl!K33="",IF(NOT(AND(I17="", J17="")), "Dateneintrag wird ignoriert", ""),Auswahl!K33)))))</f>
        <v/>
      </c>
      <c r="I17" s="79"/>
      <c r="J17" s="74"/>
      <c r="K17" s="141" t="str">
        <f>IF(OR(Auswahl!$G$19=1,Auswahl!$G$19=2),IF(Auswahl!B33="",IF(NOT(AND(I17="", J17="")), "Dateneintrag wird ignoriert", ""),Auswahl!B33),IF(Auswahl!$G$19=3,IF(Auswahl!I33="",IF(NOT(AND(I17="", J17="")), "Dateneintrag wird ignoriert", ""),Auswahl!I33),IF(Auswahl!$G$19=4,IF(Auswahl!L33="",IF(NOT(AND(I17="", J17="")), "Dateneintrag wird ignoriert", ""),Auswahl!L33))))</f>
        <v/>
      </c>
      <c r="L17" s="126"/>
      <c r="M17" s="142" t="s">
        <v>38</v>
      </c>
      <c r="N17" s="143" t="s">
        <v>10</v>
      </c>
      <c r="O17" s="144" t="str">
        <f>IF(Auswahl!$G$4=1, 'Filtersand,-kies'!D20, IF(Auswahl!$G$4=2, Kornaktivkohle!D20, Harze!D20))</f>
        <v/>
      </c>
      <c r="Q17" s="151" t="s">
        <v>3</v>
      </c>
      <c r="R17" s="139" t="s">
        <v>10</v>
      </c>
      <c r="S17" s="152" t="str">
        <f>IF(OR(Auswahl!$G$19=1, Auswahl!$G$19=2), IF(ISNUMBER(Hauptmenü!J13), J13, ""), "")</f>
        <v/>
      </c>
      <c r="T17" s="122"/>
      <c r="U17" s="122"/>
      <c r="V17" s="122"/>
      <c r="W17" s="122"/>
      <c r="X17" s="122"/>
      <c r="Y17" s="151" t="s">
        <v>2</v>
      </c>
      <c r="Z17" s="139" t="s">
        <v>20</v>
      </c>
      <c r="AA17" s="158" t="str">
        <f>IF(Auswahl!$G$19=4, IF(ISNUMBER(Hauptmenü!J14), J14, ""), "")</f>
        <v/>
      </c>
    </row>
    <row r="18" spans="1:29" x14ac:dyDescent="0.35">
      <c r="A18" s="126"/>
      <c r="B18" s="122"/>
      <c r="C18" s="122"/>
      <c r="D18" s="122"/>
      <c r="E18" s="122"/>
      <c r="F18" s="122"/>
      <c r="G18" s="126"/>
      <c r="H18" s="134" t="str">
        <f>IF(Auswahl!$G$19=1,IF(Auswahl!A34="",IF(NOT(AND(I18="", J18="")), "Dateneintrag wird ignoriert", ""),Auswahl!A34),IF(Auswahl!$G$19=2, IF(Auswahl!E34="", IF(NOT(AND(I18="", J18="")), "Dateneintrag wird ignoriert", ""), Auswahl!E34), IF(Auswahl!$G$19=3,IF(Auswahl!H34="",IF(NOT(AND(I18="", J18="")), "Dateneintrag wird ignoriert", ""),Auswahl!H34),IF(Auswahl!$G$19=4,IF(Auswahl!K34="",IF(NOT(AND(I18="", J18="")), "Dateneintrag wird ignoriert", ""),Auswahl!K34)))))</f>
        <v/>
      </c>
      <c r="I18" s="79"/>
      <c r="J18" s="74"/>
      <c r="K18" s="141" t="str">
        <f>IF(Auswahl!$G$19=1,IF(Auswahl!A34="",IF(NOT(AND(I18="", J18="")), "Dateneintrag wird ignoriert", ""),Auswahl!B34),IF(Auswahl!$G$19=2, IF(Auswahl!F34="", IF(NOT(AND(I18="", J18="")), "Dateneintrag wird ignoriert", ""), Auswahl!F34), IF(Auswahl!$G$19=3,IF(Auswahl!I34="",IF(NOT(AND(I18="", J18="")), "Dateneintrag wird ignoriert", ""),Auswahl!I34),IF(Auswahl!$G$19=4,IF(Auswahl!L34="",IF(NOT(AND(I18="", J18="")), "Dateneintrag wird ignoriert", ""),Auswahl!L34)))))</f>
        <v/>
      </c>
      <c r="L18" s="126"/>
      <c r="M18" s="142" t="s">
        <v>4</v>
      </c>
      <c r="N18" s="143" t="s">
        <v>10</v>
      </c>
      <c r="O18" s="144" t="str">
        <f>IF(Auswahl!$G$4=1, 'Filtersand,-kies'!D21, IF(Auswahl!$G$4=2, Kornaktivkohle!D21, Harze!D21))</f>
        <v/>
      </c>
      <c r="Q18" s="151" t="s">
        <v>4</v>
      </c>
      <c r="R18" s="139" t="s">
        <v>10</v>
      </c>
      <c r="S18" s="152" t="str">
        <f>IF(OR(Auswahl!$G$19=1, Auswahl!$G$19=2), IF(ISNUMBER(Hauptmenü!J14), J14, ""), "")</f>
        <v/>
      </c>
      <c r="T18" s="122"/>
      <c r="U18" s="122"/>
      <c r="V18" s="122"/>
      <c r="W18" s="122"/>
      <c r="X18" s="122"/>
      <c r="Y18" s="151" t="s">
        <v>3</v>
      </c>
      <c r="Z18" s="139" t="s">
        <v>20</v>
      </c>
      <c r="AA18" s="158" t="str">
        <f>IF(Auswahl!$G$19=4, IF(ISNUMBER(Hauptmenü!J15), J15, ""), "")</f>
        <v/>
      </c>
    </row>
    <row r="19" spans="1:29" ht="15" thickBot="1" x14ac:dyDescent="0.4">
      <c r="A19" s="126"/>
      <c r="B19" s="296"/>
      <c r="C19" s="296"/>
      <c r="D19" s="296"/>
      <c r="E19" s="296"/>
      <c r="F19" s="296"/>
      <c r="G19" s="126"/>
      <c r="H19" s="134" t="str">
        <f>IF(Auswahl!$G$19=1,IF(Auswahl!A35="",IF(NOT(AND(I19="", J19="")), "Dateneintrag wird ignoriert", ""),Auswahl!A35),IF(Auswahl!$G$19=2, IF(Auswahl!E35="", IF(NOT(AND(I19="", J19="")), "Dateneintrag wird ignoriert", ""), Auswahl!E35), IF(Auswahl!$G$19=3,IF(Auswahl!H35="",IF(NOT(AND(I19="", J19="")), "Dateneintrag wird ignoriert", ""),Auswahl!H35),IF(Auswahl!$G$19=4,IF(Auswahl!K35="",IF(NOT(AND(I19="", J19="")), "Dateneintrag wird ignoriert", ""),Auswahl!K35)))))</f>
        <v/>
      </c>
      <c r="I19" s="79"/>
      <c r="J19" s="74"/>
      <c r="K19" s="141" t="str">
        <f>IF(OR(Auswahl!$G$19=1,Auswahl!$G$19=2),IF(Auswahl!B35="",IF(NOT(AND(I19="", J19="")), "Dateneintrag wird ignoriert", ""),Auswahl!B35),IF(Auswahl!$G$19=3,IF(Auswahl!I35="",IF(NOT(AND(I19="", J19="")), "Dateneintrag wird ignoriert", ""),Auswahl!I35),IF(Auswahl!$G$19=4,IF(Auswahl!L35="",IF(NOT(AND(I19="", J19="")), "Dateneintrag wird ignoriert", ""),Auswahl!L35))))</f>
        <v/>
      </c>
      <c r="L19" s="126"/>
      <c r="M19" s="142" t="s">
        <v>5</v>
      </c>
      <c r="N19" s="143" t="s">
        <v>10</v>
      </c>
      <c r="O19" s="144" t="str">
        <f>IF(Auswahl!$G$4=1, 'Filtersand,-kies'!D22, IF(Auswahl!$G$4=2, Kornaktivkohle!D22, Harze!D22))</f>
        <v/>
      </c>
      <c r="Q19" s="159" t="s">
        <v>5</v>
      </c>
      <c r="R19" s="156" t="s">
        <v>10</v>
      </c>
      <c r="S19" s="157" t="str">
        <f>IF(OR(Auswahl!$G$19=1, Auswahl!$G$19=2), IF(ISNUMBER(Hauptmenü!J15), J15, ""), "")</f>
        <v/>
      </c>
      <c r="T19" s="122"/>
      <c r="U19" s="122"/>
      <c r="V19" s="122"/>
      <c r="W19" s="122"/>
      <c r="X19" s="122"/>
      <c r="Y19" s="151" t="s">
        <v>4</v>
      </c>
      <c r="Z19" s="139" t="s">
        <v>20</v>
      </c>
      <c r="AA19" s="158" t="str">
        <f>IF(Auswahl!$G$19=4, IF(ISNUMBER(Hauptmenü!J16), J16, ""), "")</f>
        <v/>
      </c>
    </row>
    <row r="20" spans="1:29" ht="15" thickBot="1" x14ac:dyDescent="0.4">
      <c r="A20" s="126"/>
      <c r="B20" s="296"/>
      <c r="C20" s="296"/>
      <c r="D20" s="296"/>
      <c r="E20" s="296"/>
      <c r="F20" s="296"/>
      <c r="H20" s="160" t="str">
        <f>IF(Auswahl!$G$19=1,IF(Auswahl!A35="",IF(NOT(AND(I20="", J20="")), "Dateneintrag wird ignoriert", ""),Auswahl!A35),IF(Auswahl!$G$19=2, IF(Auswahl!E35="", IF(NOT(AND(I20="", J20="")), "Dateneintrag wird ignoriert", ""), Auswahl!E35), IF(Auswahl!$G$19=3,IF(Auswahl!H35="",IF(NOT(AND(I20="", J20="")), "Dateneintrag wird ignoriert", ""),Auswahl!H35),IF(Auswahl!$G$19=4,IF(Auswahl!K36="",IF(NOT(AND(I20="", J20="")), "Dateneintrag wird ignoriert", ""),Auswahl!K36)))))</f>
        <v/>
      </c>
      <c r="I20" s="80"/>
      <c r="J20" s="75"/>
      <c r="K20" s="161" t="str">
        <f>IF(OR(Auswahl!$G$19=1,Auswahl!$G$19=2),IF(Auswahl!B35="",IF(NOT(AND(I20="", J20="")), "Dateneintrag wird ignoriert", ""),Auswahl!B35),IF(Auswahl!$G$19=3,IF(Auswahl!I35="",IF(NOT(AND(I20="", J20="")), "Dateneintrag wird ignoriert", ""),Auswahl!I35),IF(Auswahl!$G$19=4,IF(Auswahl!L36="",IF(NOT(AND(I20="", J20="")), "Dateneintrag wird ignoriert", ""),Auswahl!L36))))</f>
        <v/>
      </c>
      <c r="L20" s="126"/>
      <c r="M20" s="299" t="str">
        <f>IF(R39=0, Auswahl!A47, IF(R40=0, Auswahl!A48, ""))</f>
        <v>Datenlage für Erstbewertung unzureichend.</v>
      </c>
      <c r="N20" s="300"/>
      <c r="O20" s="301"/>
      <c r="Q20" s="162"/>
      <c r="R20" s="122"/>
      <c r="S20" s="122"/>
      <c r="T20" s="122"/>
      <c r="U20" s="122"/>
      <c r="V20" s="122"/>
      <c r="W20" s="122"/>
      <c r="X20" s="122"/>
      <c r="Y20" s="151" t="s">
        <v>9</v>
      </c>
      <c r="Z20" s="139" t="s">
        <v>198</v>
      </c>
      <c r="AA20" s="158" t="str">
        <f>IF(Auswahl!$G$19=4, IF(ISNUMBER(Hauptmenü!J17), J17, ""), "")</f>
        <v/>
      </c>
      <c r="AC20" s="108"/>
    </row>
    <row r="21" spans="1:29" ht="15.5" thickTop="1" thickBot="1" x14ac:dyDescent="0.4">
      <c r="B21" s="163"/>
      <c r="C21" s="117"/>
      <c r="D21" s="117"/>
      <c r="E21" s="117"/>
      <c r="F21" s="117"/>
      <c r="G21" s="164"/>
      <c r="H21" s="303" t="str">
        <f>IF(R32=0, "In Spalte 'Wert' nur Zahlen, keine Buchstaben oder Sonderzeichen eintragen.", "")</f>
        <v/>
      </c>
      <c r="I21" s="304"/>
      <c r="J21" s="304"/>
      <c r="K21" s="305"/>
      <c r="L21" s="164"/>
      <c r="M21" s="297" t="str">
        <f>IF(AND(Auswahl!G4=1, ISNUMBER(O16), OR(AND(Auswahl!G19=2, NOT(ISNUMBER(J13))), Auswahl!G19&gt;2)), "Der Wert für Pb-210 kann bei Entsäuerungsstufen stark abweichen.", "")</f>
        <v/>
      </c>
      <c r="N21" s="297"/>
      <c r="O21" s="298"/>
      <c r="Q21" s="165" t="s">
        <v>197</v>
      </c>
      <c r="R21" s="166" t="s">
        <v>193</v>
      </c>
      <c r="S21" s="167" t="str">
        <f>IF(OR(Auswahl!$G$19=2, Auswahl!$G$19=3, Auswahl!$G$19=4), IF(ISNUMBER(Hauptmenü!J18), J18, ""), "")</f>
        <v/>
      </c>
      <c r="T21" s="122"/>
      <c r="U21" s="165" t="s">
        <v>197</v>
      </c>
      <c r="V21" s="168" t="s">
        <v>193</v>
      </c>
      <c r="W21" s="167" t="str">
        <f>IF(Auswahl!$G$19=3, IF(ISNUMBER(Hauptmenü!J18), J18, ""), "")</f>
        <v/>
      </c>
      <c r="X21" s="122"/>
      <c r="Y21" s="169" t="s">
        <v>197</v>
      </c>
      <c r="Z21" s="170" t="s">
        <v>193</v>
      </c>
      <c r="AA21" s="158" t="str">
        <f>IF(Auswahl!$G$19=4, IF(ISNUMBER(Hauptmenü!J18), J18, ""), "")</f>
        <v/>
      </c>
    </row>
    <row r="22" spans="1:29" ht="15.5" thickTop="1" thickBot="1" x14ac:dyDescent="0.4">
      <c r="B22" s="122"/>
      <c r="C22" s="122"/>
      <c r="D22" s="122"/>
      <c r="E22" s="122"/>
      <c r="F22" s="171"/>
      <c r="G22" s="171"/>
      <c r="H22" s="171"/>
      <c r="I22" s="171"/>
      <c r="J22" s="171"/>
      <c r="K22" s="171"/>
      <c r="L22" s="171"/>
      <c r="M22" s="171"/>
      <c r="N22" s="171"/>
      <c r="O22" s="171"/>
      <c r="Q22" s="122"/>
      <c r="R22" s="122"/>
      <c r="S22" s="122"/>
      <c r="T22" s="122"/>
      <c r="U22" s="122"/>
      <c r="V22" s="122"/>
      <c r="W22" s="122"/>
      <c r="X22" s="122"/>
      <c r="Y22" s="151" t="s">
        <v>28</v>
      </c>
      <c r="Z22" s="139" t="s">
        <v>14</v>
      </c>
      <c r="AA22" s="158" t="str">
        <f>IF(Auswahl!$G$19=4, IF(ISNUMBER(Hauptmenü!J19), J19, ""), "")</f>
        <v/>
      </c>
    </row>
    <row r="23" spans="1:29" ht="19.5" thickTop="1" thickBot="1" x14ac:dyDescent="0.5">
      <c r="B23" s="172" t="s">
        <v>113</v>
      </c>
      <c r="C23" s="173"/>
      <c r="D23" s="173"/>
      <c r="E23" s="173"/>
      <c r="F23" s="122"/>
      <c r="G23" s="122"/>
      <c r="H23" s="122"/>
      <c r="O23" s="126"/>
      <c r="Q23" s="174" t="s">
        <v>200</v>
      </c>
      <c r="R23" s="175">
        <v>0.1205473357495557</v>
      </c>
      <c r="S23" s="119" t="s">
        <v>202</v>
      </c>
      <c r="Y23" s="159" t="s">
        <v>29</v>
      </c>
      <c r="Z23" s="156" t="s">
        <v>30</v>
      </c>
      <c r="AA23" s="176" t="str">
        <f>IF(Auswahl!$G$19=4, IF(ISNUMBER(Hauptmenü!J20), J20, ""), "")</f>
        <v/>
      </c>
    </row>
    <row r="24" spans="1:29" x14ac:dyDescent="0.35">
      <c r="B24" s="177"/>
      <c r="C24" s="122"/>
      <c r="D24" s="122"/>
      <c r="E24" s="122"/>
      <c r="F24" s="122"/>
      <c r="G24" s="122"/>
      <c r="H24" s="122"/>
      <c r="O24" s="126"/>
      <c r="Q24" s="178" t="s">
        <v>201</v>
      </c>
      <c r="R24" s="179">
        <v>0.36481430555786598</v>
      </c>
      <c r="S24" s="180" t="s">
        <v>202</v>
      </c>
      <c r="T24" s="122"/>
      <c r="X24" s="122"/>
    </row>
    <row r="25" spans="1:29" ht="15" thickBot="1" x14ac:dyDescent="0.4">
      <c r="B25" s="181" t="s">
        <v>117</v>
      </c>
      <c r="C25" s="122"/>
      <c r="D25" s="122"/>
      <c r="E25" s="122"/>
      <c r="F25" s="122"/>
      <c r="G25" s="122"/>
      <c r="H25" s="122"/>
      <c r="O25" s="126"/>
      <c r="Q25" s="182" t="s">
        <v>199</v>
      </c>
      <c r="R25" s="183" t="str">
        <f>IF(ISNUMBER(S21), (1+((R23*EXP(-R24*S21)-R24*EXP(-R23*S21))/(R24-R23)))/(1-EXP(-R23*S21)), "")</f>
        <v/>
      </c>
      <c r="S25" s="137"/>
    </row>
    <row r="26" spans="1:29" ht="15" thickBot="1" x14ac:dyDescent="0.4">
      <c r="B26" s="184" t="s">
        <v>54</v>
      </c>
      <c r="C26" s="185"/>
      <c r="D26" s="185"/>
      <c r="E26" s="185"/>
      <c r="F26" s="185"/>
      <c r="G26" s="185"/>
      <c r="H26" s="185"/>
      <c r="J26" s="186"/>
      <c r="O26" s="126"/>
      <c r="T26" s="122"/>
      <c r="X26" s="122"/>
    </row>
    <row r="27" spans="1:29" x14ac:dyDescent="0.35">
      <c r="B27" s="187"/>
      <c r="C27" s="185"/>
      <c r="D27" s="185"/>
      <c r="E27" s="185"/>
      <c r="F27" s="185"/>
      <c r="G27" s="185"/>
      <c r="H27" s="122"/>
      <c r="I27" s="122"/>
      <c r="J27" s="122"/>
      <c r="K27" s="122"/>
      <c r="L27" s="122"/>
      <c r="M27" s="122"/>
      <c r="N27" s="122"/>
      <c r="O27" s="126"/>
      <c r="Q27" s="188" t="s">
        <v>225</v>
      </c>
      <c r="R27" s="148"/>
      <c r="S27" s="189"/>
    </row>
    <row r="28" spans="1:29" ht="15" thickBot="1" x14ac:dyDescent="0.4">
      <c r="B28" s="163"/>
      <c r="C28" s="117"/>
      <c r="D28" s="117"/>
      <c r="E28" s="117"/>
      <c r="F28" s="117"/>
      <c r="G28" s="185"/>
      <c r="H28" s="122"/>
      <c r="I28" s="122"/>
      <c r="J28" s="122"/>
      <c r="K28" s="122"/>
      <c r="L28" s="122"/>
      <c r="M28" s="122"/>
      <c r="N28" s="122"/>
      <c r="O28" s="126"/>
      <c r="Q28" s="190">
        <f>IF(OR(J11="", ISNUMBER(J11)), 1, 0)</f>
        <v>1</v>
      </c>
      <c r="R28" s="139"/>
      <c r="S28" s="191"/>
    </row>
    <row r="29" spans="1:29" ht="18.75" customHeight="1" thickTop="1" thickBot="1" x14ac:dyDescent="0.4">
      <c r="B29" s="192" t="s">
        <v>265</v>
      </c>
      <c r="C29" s="193"/>
      <c r="D29" s="193"/>
      <c r="E29" s="193"/>
      <c r="F29" s="194"/>
      <c r="G29" s="195">
        <f>IF(Auswahl!G11=1, 1, IF(OR(Auswahl!G11=2, Auswahl!G11=3), 0.5, 5))</f>
        <v>1</v>
      </c>
      <c r="I29" s="117"/>
      <c r="J29" s="117"/>
      <c r="K29" s="117"/>
      <c r="L29" s="196"/>
      <c r="M29" s="197"/>
      <c r="N29" s="117"/>
      <c r="O29" s="164"/>
      <c r="P29" s="108"/>
      <c r="Q29" s="190">
        <f t="shared" ref="Q29:Q30" si="0">IF(OR(J12="", ISNUMBER(J12)), 1, 0)</f>
        <v>1</v>
      </c>
      <c r="R29" s="139"/>
      <c r="S29" s="191"/>
    </row>
    <row r="30" spans="1:29" ht="22.5" customHeight="1" thickTop="1" thickBot="1" x14ac:dyDescent="0.4">
      <c r="B30" s="198" t="s">
        <v>147</v>
      </c>
      <c r="C30" s="199"/>
      <c r="D30" s="199"/>
      <c r="E30" s="199"/>
      <c r="F30" s="200"/>
      <c r="G30" s="201" t="str">
        <f>IF(R39=1, IF(AND(MAX(O13:O17)&lt;0.2, MAX(O18:O19)&lt;0.2), "Nein", "Ja"), "?")</f>
        <v>?</v>
      </c>
      <c r="H30" s="202" t="str">
        <f>IF(G30="?", Auswahl!A49, "")</f>
        <v>Keine Bewertung möglich</v>
      </c>
      <c r="I30" s="292" t="str">
        <f>IF(G30="Nein", Auswahl!A40, "")</f>
        <v/>
      </c>
      <c r="J30" s="293"/>
      <c r="K30" s="293"/>
      <c r="L30" s="293"/>
      <c r="M30" s="293"/>
      <c r="N30" s="293"/>
      <c r="O30" s="294"/>
      <c r="Q30" s="190">
        <f t="shared" si="0"/>
        <v>1</v>
      </c>
      <c r="R30" s="203"/>
      <c r="S30" s="204"/>
    </row>
    <row r="31" spans="1:29" ht="30.75" customHeight="1" thickTop="1" thickBot="1" x14ac:dyDescent="0.4">
      <c r="B31" s="205" t="s">
        <v>266</v>
      </c>
      <c r="C31" s="206"/>
      <c r="D31" s="206"/>
      <c r="E31" s="206"/>
      <c r="F31" s="207"/>
      <c r="G31" s="254" t="str">
        <f>IF(R39=1, R11*R9*MAX(O13:O17)+R10*MAX(O18:O19), "?")</f>
        <v>?</v>
      </c>
      <c r="H31" s="208" t="str">
        <f>IF(R11&lt;1, "Hinweis:", "")</f>
        <v/>
      </c>
      <c r="I31" s="274" t="str">
        <f>IF(R11&lt;1, Auswahl!A39, "")</f>
        <v/>
      </c>
      <c r="J31" s="275"/>
      <c r="K31" s="275"/>
      <c r="L31" s="275"/>
      <c r="M31" s="275"/>
      <c r="N31" s="275"/>
      <c r="O31" s="276"/>
      <c r="Q31" s="209"/>
      <c r="R31" s="122"/>
      <c r="S31" s="210"/>
      <c r="AC31" s="108"/>
    </row>
    <row r="32" spans="1:29" ht="65.25" customHeight="1" thickTop="1" thickBot="1" x14ac:dyDescent="0.4">
      <c r="B32" s="211" t="s">
        <v>152</v>
      </c>
      <c r="C32" s="171"/>
      <c r="D32" s="171"/>
      <c r="E32" s="171"/>
      <c r="F32" s="171"/>
      <c r="G32" s="212" t="str">
        <f>IF(R39=0, "?", IF(G30="Nein","Nein",IF(G31&gt;G29,"Ja","Nein")))</f>
        <v>?</v>
      </c>
      <c r="H32" s="213" t="s">
        <v>134</v>
      </c>
      <c r="I32" s="295" t="str">
        <f>IF(R39=0, "", IF(G32="Ja", Auswahl!A41, Auswahl!A42))</f>
        <v/>
      </c>
      <c r="J32" s="295"/>
      <c r="K32" s="295"/>
      <c r="L32" s="295"/>
      <c r="M32" s="295"/>
      <c r="N32" s="295"/>
      <c r="O32" s="295"/>
      <c r="Q32" s="209">
        <f>IF(OR(J14="", ISNUMBER(J14)), 1, 0)</f>
        <v>1</v>
      </c>
      <c r="R32" s="272">
        <f>PRODUCT(Q28:Q37)</f>
        <v>1</v>
      </c>
      <c r="S32" s="273"/>
    </row>
    <row r="33" spans="2:19" ht="15" thickTop="1" x14ac:dyDescent="0.35">
      <c r="B33" s="177"/>
      <c r="C33" s="122"/>
      <c r="D33" s="122"/>
      <c r="E33" s="122"/>
      <c r="F33" s="122"/>
      <c r="G33" s="122"/>
      <c r="H33" s="122"/>
      <c r="O33" s="126"/>
      <c r="Q33" s="190">
        <f>IF(OR(J15="", ISNUMBER(J15)), 1, 0)</f>
        <v>1</v>
      </c>
      <c r="R33" s="214"/>
      <c r="S33" s="215"/>
    </row>
    <row r="34" spans="2:19" ht="15" thickBot="1" x14ac:dyDescent="0.4">
      <c r="B34" s="216" t="s">
        <v>116</v>
      </c>
      <c r="C34" s="117"/>
      <c r="D34" s="117"/>
      <c r="E34" s="117"/>
      <c r="F34" s="117"/>
      <c r="G34" s="117"/>
      <c r="H34" s="122"/>
      <c r="O34" s="126"/>
      <c r="Q34" s="190">
        <f>IF(OR(J16="", ISNUMBER(J16)), 1, 0)</f>
        <v>1</v>
      </c>
      <c r="R34" s="139"/>
      <c r="S34" s="191"/>
    </row>
    <row r="35" spans="2:19" ht="15.5" thickTop="1" thickBot="1" x14ac:dyDescent="0.4">
      <c r="B35" s="217" t="s">
        <v>46</v>
      </c>
      <c r="C35" s="218"/>
      <c r="D35" s="218"/>
      <c r="E35" s="218" t="s">
        <v>51</v>
      </c>
      <c r="F35" s="219" t="s">
        <v>32</v>
      </c>
      <c r="G35" s="76"/>
      <c r="H35" s="122"/>
      <c r="I35" s="122"/>
      <c r="O35" s="126"/>
      <c r="Q35" s="190">
        <f t="shared" ref="Q35:Q37" si="1">IF(OR(J17="", ISNUMBER(J17)), 1, 0)</f>
        <v>1</v>
      </c>
      <c r="R35" s="139"/>
      <c r="S35" s="191"/>
    </row>
    <row r="36" spans="2:19" ht="15.5" thickTop="1" thickBot="1" x14ac:dyDescent="0.4">
      <c r="B36" s="163" t="s">
        <v>33</v>
      </c>
      <c r="C36" s="117"/>
      <c r="D36" s="117"/>
      <c r="E36" s="117"/>
      <c r="F36" s="117"/>
      <c r="G36" s="220" t="str">
        <f>ADR!H11</f>
        <v>Nein</v>
      </c>
      <c r="H36" s="221" t="s">
        <v>134</v>
      </c>
      <c r="I36" s="277" t="str">
        <f>IF(G36="Ja", Auswahl!A43, Auswahl!A42)</f>
        <v>Keine Anforderungen.</v>
      </c>
      <c r="J36" s="278"/>
      <c r="K36" s="278"/>
      <c r="L36" s="278"/>
      <c r="M36" s="278"/>
      <c r="N36" s="278"/>
      <c r="O36" s="279"/>
      <c r="P36" s="222"/>
      <c r="Q36" s="190">
        <f t="shared" si="1"/>
        <v>1</v>
      </c>
      <c r="R36" s="139"/>
      <c r="S36" s="191"/>
    </row>
    <row r="37" spans="2:19" ht="15.5" thickTop="1" thickBot="1" x14ac:dyDescent="0.4">
      <c r="B37" s="163"/>
      <c r="C37" s="117"/>
      <c r="D37" s="117"/>
      <c r="E37" s="117"/>
      <c r="F37" s="117"/>
      <c r="G37" s="117"/>
      <c r="H37" s="117"/>
      <c r="I37" s="117"/>
      <c r="J37" s="117"/>
      <c r="K37" s="117"/>
      <c r="L37" s="117"/>
      <c r="M37" s="117"/>
      <c r="N37" s="117"/>
      <c r="O37" s="164"/>
      <c r="Q37" s="223">
        <f t="shared" si="1"/>
        <v>1</v>
      </c>
      <c r="R37" s="156"/>
      <c r="S37" s="224"/>
    </row>
    <row r="38" spans="2:19" ht="15.5" thickTop="1" thickBot="1" x14ac:dyDescent="0.4"/>
    <row r="39" spans="2:19" x14ac:dyDescent="0.35">
      <c r="Q39" s="225" t="s">
        <v>226</v>
      </c>
      <c r="R39" s="226">
        <f>IF(OR(SUM(O13:O17)=0,SUM(O18:O19)=0, PRODUCT(Q28:Q37)=0), 0, 1)</f>
        <v>0</v>
      </c>
      <c r="S39" s="189" t="s">
        <v>228</v>
      </c>
    </row>
    <row r="40" spans="2:19" ht="15" thickBot="1" x14ac:dyDescent="0.4">
      <c r="Q40" s="155" t="s">
        <v>227</v>
      </c>
      <c r="R40" s="223">
        <f>IF(NOT(ISNUMBER(Dosisabschätzung!E19+Dosisabschätzung!I19)), 0, 1)</f>
        <v>0</v>
      </c>
      <c r="S40" s="224" t="s">
        <v>228</v>
      </c>
    </row>
  </sheetData>
  <sheetProtection algorithmName="SHA-512" hashValue="ojiM/yLF/X91jAh9dMmr4RYF/9kaPX+iV6TkSd6Gujlh7/0HrNhHV8OfN6a94REW13xnTFQuPKQ3BFi+vXbAhg==" saltValue="i9q9QdRLM/vJOJAHPrWp7Q==" spinCount="100000" sheet="1" selectLockedCells="1"/>
  <mergeCells count="13">
    <mergeCell ref="R32:S32"/>
    <mergeCell ref="I31:O31"/>
    <mergeCell ref="I36:O36"/>
    <mergeCell ref="M9:O11"/>
    <mergeCell ref="F2:O3"/>
    <mergeCell ref="F5:O6"/>
    <mergeCell ref="I30:O30"/>
    <mergeCell ref="I32:O32"/>
    <mergeCell ref="B19:F20"/>
    <mergeCell ref="M21:O21"/>
    <mergeCell ref="M20:O20"/>
    <mergeCell ref="E11:F13"/>
    <mergeCell ref="H21:K21"/>
  </mergeCells>
  <conditionalFormatting sqref="G36">
    <cfRule type="containsText" dxfId="19" priority="22" operator="containsText" text="Ja">
      <formula>NOT(ISERROR(SEARCH("Ja",G36)))</formula>
    </cfRule>
  </conditionalFormatting>
  <conditionalFormatting sqref="G32">
    <cfRule type="containsText" dxfId="18" priority="21" operator="containsText" text="Ja">
      <formula>NOT(ISERROR(SEARCH("Ja",G32)))</formula>
    </cfRule>
  </conditionalFormatting>
  <conditionalFormatting sqref="H11 K11:K20">
    <cfRule type="containsText" dxfId="17" priority="13" operator="containsText" text="ignoriert">
      <formula>NOT(ISERROR(SEARCH("ignoriert",H11)))</formula>
    </cfRule>
  </conditionalFormatting>
  <conditionalFormatting sqref="H11:H20">
    <cfRule type="containsText" dxfId="16" priority="10" operator="containsText" text="ignoriert">
      <formula>NOT(ISERROR(SEARCH("ignoriert",H11)))</formula>
    </cfRule>
    <cfRule type="containsText" dxfId="15" priority="12" operator="containsText" text="ignoriert">
      <formula>NOT(ISERROR(SEARCH("ignoriert",H11)))</formula>
    </cfRule>
  </conditionalFormatting>
  <conditionalFormatting sqref="R7:T7 S8:T9 R9:R10">
    <cfRule type="containsText" dxfId="14" priority="35" operator="containsText" text="&lt;">
      <formula>NOT(ISERROR(SEARCH("&lt;",R7)))</formula>
    </cfRule>
    <cfRule type="containsText" dxfId="13" priority="37" operator="containsText" text="&lt;">
      <formula>NOT(ISERROR(SEARCH("&lt;",R7)))</formula>
    </cfRule>
  </conditionalFormatting>
  <conditionalFormatting sqref="G30:G31">
    <cfRule type="containsText" dxfId="12" priority="8" operator="containsText" text="Ja">
      <formula>NOT(ISERROR(SEARCH("Ja",G30)))</formula>
    </cfRule>
  </conditionalFormatting>
  <conditionalFormatting sqref="B19:F20">
    <cfRule type="containsText" dxfId="11" priority="7" operator="containsText" text="Bitte">
      <formula>NOT(ISERROR(SEARCH("Bitte",B19)))</formula>
    </cfRule>
  </conditionalFormatting>
  <conditionalFormatting sqref="M21:O21">
    <cfRule type="containsText" dxfId="10" priority="5" operator="containsText" text="Entsäuerung">
      <formula>NOT(ISERROR(SEARCH("Entsäuerung",M21)))</formula>
    </cfRule>
  </conditionalFormatting>
  <conditionalFormatting sqref="M20:O20">
    <cfRule type="containsText" dxfId="9" priority="4" operator="containsText" text="Daten">
      <formula>NOT(ISERROR(SEARCH("Daten",M20)))</formula>
    </cfRule>
  </conditionalFormatting>
  <conditionalFormatting sqref="H21:K21">
    <cfRule type="containsText" dxfId="8" priority="3" operator="containsText" text=".">
      <formula>NOT(ISERROR(SEARCH(".",H21)))</formula>
    </cfRule>
  </conditionalFormatting>
  <conditionalFormatting sqref="H30">
    <cfRule type="containsText" dxfId="7" priority="2" operator="containsText" text="Keine">
      <formula>NOT(ISERROR(SEARCH("Keine",H30)))</formula>
    </cfRule>
  </conditionalFormatting>
  <conditionalFormatting sqref="I30">
    <cfRule type="containsText" dxfId="6" priority="1" operator="containsText" text="Keine">
      <formula>NOT(ISERROR(SEARCH("Keine",I30)))</formula>
    </cfRule>
  </conditionalFormatting>
  <dataValidations count="1">
    <dataValidation type="decimal" operator="greaterThan" allowBlank="1" showInputMessage="1" showErrorMessage="1" errorTitle="&lt;NWG" error="In diese Zellen nur Zahlen &gt;0 eintragen, sonst Zelle freilassen. Wenn ein Wert kleiner als eine angegebene Nachweisgrenze, dann &lt; in die orange Spalte eintragen. " promptTitle="Hinweis &lt;NWG" prompt="Wenn der Wert kleiner als Nachweisgrenze, dann &lt; in die orange Spalte eintragen." sqref="J11:J20">
      <formula1>0</formula1>
    </dataValidation>
  </dataValidation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7" r:id="rId4" name="Drop Down 13">
              <controlPr defaultSize="0" autoLine="0" autoPict="0" altText="Art der Rückstände">
                <anchor moveWithCells="1">
                  <from>
                    <xdr:col>1</xdr:col>
                    <xdr:colOff>12700</xdr:colOff>
                    <xdr:row>11</xdr:row>
                    <xdr:rowOff>12700</xdr:rowOff>
                  </from>
                  <to>
                    <xdr:col>3</xdr:col>
                    <xdr:colOff>533400</xdr:colOff>
                    <xdr:row>12</xdr:row>
                    <xdr:rowOff>127000</xdr:rowOff>
                  </to>
                </anchor>
              </controlPr>
            </control>
          </mc:Choice>
        </mc:AlternateContent>
        <mc:AlternateContent xmlns:mc="http://schemas.openxmlformats.org/markup-compatibility/2006">
          <mc:Choice Requires="x14">
            <control shapeId="1038" r:id="rId5" name="Drop Down 14">
              <controlPr defaultSize="0" autoLine="0" autoPict="0">
                <anchor moveWithCells="1">
                  <from>
                    <xdr:col>1</xdr:col>
                    <xdr:colOff>19050</xdr:colOff>
                    <xdr:row>15</xdr:row>
                    <xdr:rowOff>38100</xdr:rowOff>
                  </from>
                  <to>
                    <xdr:col>5</xdr:col>
                    <xdr:colOff>774700</xdr:colOff>
                    <xdr:row>16</xdr:row>
                    <xdr:rowOff>152400</xdr:rowOff>
                  </to>
                </anchor>
              </controlPr>
            </control>
          </mc:Choice>
        </mc:AlternateContent>
        <mc:AlternateContent xmlns:mc="http://schemas.openxmlformats.org/markup-compatibility/2006">
          <mc:Choice Requires="x14">
            <control shapeId="1035" r:id="rId6" name="Drop Down 11">
              <controlPr defaultSize="0" autoLine="0" autoPict="0">
                <anchor moveWithCells="1">
                  <from>
                    <xdr:col>1</xdr:col>
                    <xdr:colOff>31750</xdr:colOff>
                    <xdr:row>26</xdr:row>
                    <xdr:rowOff>31750</xdr:rowOff>
                  </from>
                  <to>
                    <xdr:col>5</xdr:col>
                    <xdr:colOff>1390650</xdr:colOff>
                    <xdr:row>27</xdr:row>
                    <xdr:rowOff>152400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8" operator="containsText" id="{6B03D682-8BA6-41CD-BD76-3DE7C216BA85}">
            <xm:f>NOT(ISERROR(SEARCH($I$10,R7)))</xm:f>
            <xm:f>$I$10</xm:f>
            <x14:dxf>
              <fill>
                <patternFill>
                  <bgColor rgb="FF92D050"/>
                </patternFill>
              </fill>
            </x14:dxf>
          </x14:cfRule>
          <xm:sqref>R7:T7 S8:T9 R9:R10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B1:N24"/>
  <sheetViews>
    <sheetView showGridLines="0" zoomScaleNormal="100" workbookViewId="0">
      <selection activeCell="E11" sqref="E11"/>
    </sheetView>
  </sheetViews>
  <sheetFormatPr baseColWidth="10" defaultColWidth="11.453125" defaultRowHeight="14.5" x14ac:dyDescent="0.35"/>
  <cols>
    <col min="1" max="2" width="11.453125" style="109"/>
    <col min="3" max="3" width="7.26953125" style="109" customWidth="1"/>
    <col min="4" max="4" width="18.54296875" style="109" customWidth="1"/>
    <col min="5" max="5" width="11.453125" style="109"/>
    <col min="6" max="6" width="19.54296875" style="109" customWidth="1"/>
    <col min="7" max="7" width="5.26953125" style="109" customWidth="1"/>
    <col min="8" max="8" width="25.54296875" style="109" customWidth="1"/>
    <col min="9" max="9" width="12.81640625" style="109" customWidth="1"/>
    <col min="10" max="10" width="17" style="109" customWidth="1"/>
    <col min="11" max="11" width="5.1796875" style="109" customWidth="1"/>
    <col min="12" max="12" width="11.453125" style="109"/>
    <col min="13" max="13" width="32" style="109" customWidth="1"/>
    <col min="14" max="16384" width="11.453125" style="109"/>
  </cols>
  <sheetData>
    <row r="1" spans="2:13" ht="15" thickBot="1" x14ac:dyDescent="0.4"/>
    <row r="2" spans="2:13" ht="22" thickTop="1" thickBot="1" x14ac:dyDescent="0.55000000000000004">
      <c r="B2" s="316" t="s">
        <v>153</v>
      </c>
      <c r="C2" s="316"/>
      <c r="D2" s="316"/>
      <c r="E2" s="316"/>
      <c r="F2" s="315" t="str">
        <f>IF(Auswahl!G19=4, Auswahl!A57, IF(Hauptmenü!R39*Hauptmenü!R40=0, Auswahl!A56, ""))</f>
        <v>Hinweis: Es liegen nicht ausreichend Eingabedaten vor, um eine Dosisabschätzung durchzuführen. Bitte ergänzen Sie die Eingaben.</v>
      </c>
      <c r="G2" s="315"/>
      <c r="H2" s="315"/>
      <c r="I2" s="315"/>
      <c r="J2" s="315"/>
      <c r="K2" s="315"/>
      <c r="L2" s="315"/>
      <c r="M2" s="315"/>
    </row>
    <row r="3" spans="2:13" ht="15.5" thickTop="1" thickBot="1" x14ac:dyDescent="0.4"/>
    <row r="4" spans="2:13" x14ac:dyDescent="0.35">
      <c r="B4" s="227" t="s">
        <v>56</v>
      </c>
      <c r="C4" s="228"/>
      <c r="D4" s="228"/>
      <c r="E4" s="228"/>
      <c r="F4" s="229"/>
      <c r="H4" s="227" t="s">
        <v>60</v>
      </c>
      <c r="I4" s="230"/>
      <c r="J4" s="229"/>
      <c r="K4" s="122"/>
      <c r="L4" s="227" t="s">
        <v>61</v>
      </c>
      <c r="M4" s="229"/>
    </row>
    <row r="5" spans="2:13" x14ac:dyDescent="0.35">
      <c r="B5" s="231"/>
      <c r="C5" s="122"/>
      <c r="D5" s="122"/>
      <c r="E5" s="122"/>
      <c r="F5" s="232"/>
      <c r="H5" s="231"/>
      <c r="I5" s="122"/>
      <c r="J5" s="232"/>
      <c r="K5" s="122"/>
      <c r="L5" s="231"/>
      <c r="M5" s="232"/>
    </row>
    <row r="6" spans="2:13" ht="15" customHeight="1" x14ac:dyDescent="0.35">
      <c r="B6" s="231"/>
      <c r="C6" s="122"/>
      <c r="D6" s="122"/>
      <c r="E6" s="122"/>
      <c r="F6" s="232"/>
      <c r="H6" s="231"/>
      <c r="I6" s="122"/>
      <c r="J6" s="232"/>
      <c r="K6" s="122"/>
      <c r="L6" s="231"/>
      <c r="M6" s="232"/>
    </row>
    <row r="7" spans="2:13" ht="15" thickBot="1" x14ac:dyDescent="0.4">
      <c r="B7" s="231"/>
      <c r="C7" s="122"/>
      <c r="D7" s="122"/>
      <c r="E7" s="122"/>
      <c r="F7" s="232"/>
      <c r="H7" s="231"/>
      <c r="I7" s="122"/>
      <c r="J7" s="232"/>
      <c r="K7" s="122"/>
      <c r="L7" s="231"/>
      <c r="M7" s="232"/>
    </row>
    <row r="8" spans="2:13" ht="50.25" customHeight="1" x14ac:dyDescent="0.35">
      <c r="B8" s="320" t="str">
        <f>IF('Dosis Hilfsblatt'!B4=1, "Radius Behälter/Big Bag", "Dem Beschäftigten den überwiegenden Teil der Zeit zugewandte Breite des Haufwerks")</f>
        <v>Radius Behälter/Big Bag</v>
      </c>
      <c r="C8" s="321"/>
      <c r="D8" s="322"/>
      <c r="E8" s="106"/>
      <c r="F8" s="233" t="s">
        <v>57</v>
      </c>
      <c r="H8" s="234"/>
      <c r="I8" s="235"/>
      <c r="J8" s="229"/>
      <c r="K8" s="122"/>
      <c r="L8" s="231"/>
      <c r="M8" s="232"/>
    </row>
    <row r="9" spans="2:13" ht="15" thickBot="1" x14ac:dyDescent="0.4">
      <c r="B9" s="136" t="str">
        <f>IF('Dosis Hilfsblatt'!B4=1, "Füllhöhe Behälter/Big Bag", "Höhe Haufwerk")</f>
        <v>Füllhöhe Behälter/Big Bag</v>
      </c>
      <c r="C9" s="236"/>
      <c r="D9" s="236"/>
      <c r="E9" s="107"/>
      <c r="F9" s="137" t="s">
        <v>57</v>
      </c>
      <c r="H9" s="136" t="str">
        <f>IF('Dosis Hilfsblatt'!C64=2, "Staubkonzentration", IF('Dosis Hilfsblatt'!C64=1, "Keine Eingabe", ""))</f>
        <v>Staubkonzentration</v>
      </c>
      <c r="I9" s="93">
        <v>0</v>
      </c>
      <c r="J9" s="137" t="str">
        <f>IF('Dosis Hilfsblatt'!C64=2, "mg/m³", "")</f>
        <v>mg/m³</v>
      </c>
      <c r="K9" s="122"/>
      <c r="L9" s="231"/>
      <c r="M9" s="232"/>
    </row>
    <row r="10" spans="2:13" ht="19.5" customHeight="1" thickBot="1" x14ac:dyDescent="0.4">
      <c r="B10" s="231"/>
      <c r="C10" s="122"/>
      <c r="D10" s="122"/>
      <c r="E10" s="122"/>
      <c r="F10" s="232"/>
      <c r="H10" s="306" t="str">
        <f>IF(AND('Dosis Hilfsblatt'!C64=2, NOT(ISNUMBER(I9))), "Hinweis: Wird keine Staubkonzentration angegeben, werden hierfür standardmäßig 0,2 mg/m³ angenommen.", "")</f>
        <v/>
      </c>
      <c r="I10" s="307"/>
      <c r="J10" s="308"/>
      <c r="K10" s="122"/>
      <c r="L10" s="231"/>
      <c r="M10" s="232"/>
    </row>
    <row r="11" spans="2:13" ht="15" thickBot="1" x14ac:dyDescent="0.4">
      <c r="B11" s="237" t="s">
        <v>47</v>
      </c>
      <c r="C11" s="111"/>
      <c r="D11" s="111"/>
      <c r="E11" s="92"/>
      <c r="F11" s="112" t="s">
        <v>57</v>
      </c>
      <c r="H11" s="309"/>
      <c r="I11" s="310"/>
      <c r="J11" s="311"/>
      <c r="K11" s="122"/>
      <c r="L11" s="231"/>
      <c r="M11" s="232"/>
    </row>
    <row r="12" spans="2:13" ht="17.25" customHeight="1" thickBot="1" x14ac:dyDescent="0.4">
      <c r="B12" s="231"/>
      <c r="C12" s="122"/>
      <c r="D12" s="122"/>
      <c r="E12" s="238"/>
      <c r="F12" s="232"/>
      <c r="H12" s="312"/>
      <c r="I12" s="313"/>
      <c r="J12" s="314"/>
      <c r="K12" s="122"/>
      <c r="L12" s="231"/>
      <c r="M12" s="232"/>
    </row>
    <row r="13" spans="2:13" ht="15" thickBot="1" x14ac:dyDescent="0.4">
      <c r="B13" s="231"/>
      <c r="C13" s="122"/>
      <c r="D13" s="122"/>
      <c r="E13" s="122"/>
      <c r="F13" s="232"/>
      <c r="H13" s="239" t="s">
        <v>268</v>
      </c>
      <c r="I13" s="240" t="e">
        <f>IF(Auswahl!G19=4, "", 'Dosis Hilfsblatt'!D76)</f>
        <v>#VALUE!</v>
      </c>
      <c r="J13" s="241" t="s">
        <v>55</v>
      </c>
      <c r="K13" s="122"/>
      <c r="L13" s="231"/>
      <c r="M13" s="232"/>
    </row>
    <row r="14" spans="2:13" ht="15" thickBot="1" x14ac:dyDescent="0.4">
      <c r="B14" s="237" t="s">
        <v>267</v>
      </c>
      <c r="C14" s="111"/>
      <c r="D14" s="111"/>
      <c r="E14" s="242" t="e">
        <f>IF(Auswahl!G19=4, "", 'Dosis Hilfsblatt'!B44)</f>
        <v>#VALUE!</v>
      </c>
      <c r="F14" s="112" t="s">
        <v>55</v>
      </c>
      <c r="G14" s="111"/>
      <c r="H14" s="165"/>
      <c r="I14" s="242" t="e">
        <f>IF(Auswahl!G19=4, "", IF('Dosis Hilfsblatt'!B7=1, 'Dosis Hilfsblatt'!B46, IF('Dosis Hilfsblatt'!B7=2, 'Dosis Hilfsblatt'!B59, 'Dosis Hilfsblatt'!B59+'Dosis Hilfsblatt'!B53)))</f>
        <v>#VALUE!</v>
      </c>
      <c r="J14" s="243" t="s">
        <v>55</v>
      </c>
      <c r="K14" s="111"/>
      <c r="L14" s="244" t="e">
        <f>IF(Auswahl!G19=4, "", 'Dosis Hilfsblatt'!B84)</f>
        <v>#VALUE!</v>
      </c>
      <c r="M14" s="112" t="s">
        <v>55</v>
      </c>
    </row>
    <row r="15" spans="2:13" ht="15" thickBot="1" x14ac:dyDescent="0.4">
      <c r="B15" s="231"/>
      <c r="C15" s="122"/>
      <c r="D15" s="122"/>
      <c r="E15" s="122"/>
      <c r="F15" s="232"/>
      <c r="H15" s="231"/>
      <c r="I15" s="122"/>
      <c r="J15" s="232"/>
      <c r="K15" s="122"/>
      <c r="L15" s="231"/>
      <c r="M15" s="232"/>
    </row>
    <row r="16" spans="2:13" ht="18" customHeight="1" x14ac:dyDescent="0.35">
      <c r="B16" s="245" t="s">
        <v>69</v>
      </c>
      <c r="C16" s="228"/>
      <c r="D16" s="228"/>
      <c r="E16" s="81"/>
      <c r="F16" s="229" t="s">
        <v>114</v>
      </c>
      <c r="G16" s="228"/>
      <c r="H16" s="246"/>
      <c r="I16" s="81"/>
      <c r="J16" s="229" t="s">
        <v>58</v>
      </c>
      <c r="K16" s="228"/>
      <c r="L16" s="84"/>
      <c r="M16" s="229" t="s">
        <v>107</v>
      </c>
    </row>
    <row r="17" spans="2:14" ht="15" thickBot="1" x14ac:dyDescent="0.4">
      <c r="B17" s="247"/>
      <c r="C17" s="218"/>
      <c r="D17" s="248"/>
      <c r="E17" s="82"/>
      <c r="F17" s="249" t="s">
        <v>111</v>
      </c>
      <c r="G17" s="218"/>
      <c r="H17" s="136"/>
      <c r="I17" s="82"/>
      <c r="J17" s="249" t="s">
        <v>111</v>
      </c>
      <c r="K17" s="218"/>
      <c r="L17" s="85"/>
      <c r="M17" s="249" t="s">
        <v>112</v>
      </c>
      <c r="N17" s="108"/>
    </row>
    <row r="18" spans="2:14" ht="15.75" customHeight="1" thickBot="1" x14ac:dyDescent="0.4">
      <c r="B18" s="231"/>
      <c r="C18" s="122"/>
      <c r="D18" s="122"/>
      <c r="E18" s="122"/>
      <c r="F18" s="232"/>
      <c r="H18" s="231"/>
      <c r="I18" s="122"/>
      <c r="J18" s="232"/>
      <c r="K18" s="122"/>
      <c r="L18" s="231"/>
      <c r="M18" s="232"/>
      <c r="N18" s="108"/>
    </row>
    <row r="19" spans="2:14" ht="15" customHeight="1" thickBot="1" x14ac:dyDescent="0.4">
      <c r="B19" s="237" t="s">
        <v>175</v>
      </c>
      <c r="C19" s="111"/>
      <c r="D19" s="111"/>
      <c r="E19" s="250" t="e">
        <f>IF(AND(E16="", E17=""), E14*2000/1000, IF(E16*E17&gt;2000, 2000*E14/1000, E14*E16*E17/1000))</f>
        <v>#VALUE!</v>
      </c>
      <c r="F19" s="112" t="s">
        <v>115</v>
      </c>
      <c r="G19" s="111"/>
      <c r="H19" s="165"/>
      <c r="I19" s="251" t="e">
        <f>IF(AND(I17="", I16=""), 2000*(I14+I13)/1000, IF(I16*I17&gt;2000, 2000*(I13+I14)/1000, I16*(I13+I14)*I17/1000))</f>
        <v>#VALUE!</v>
      </c>
      <c r="J19" s="112" t="s">
        <v>115</v>
      </c>
      <c r="K19" s="111"/>
      <c r="L19" s="252" t="e">
        <f>IF(L16*L17&gt;8760,L14*2000/1000,L17*L16*L14/1000)</f>
        <v>#VALUE!</v>
      </c>
      <c r="M19" s="112" t="s">
        <v>115</v>
      </c>
    </row>
    <row r="20" spans="2:14" ht="15" thickBot="1" x14ac:dyDescent="0.4"/>
    <row r="21" spans="2:14" ht="15" thickBot="1" x14ac:dyDescent="0.4">
      <c r="B21" s="317" t="e">
        <f>IF(OR(E19&gt;1, I19&gt;1, L19&gt;1, E19+I19&gt;1, I19+L19&gt;1, L19+E19&gt;1), Auswahl!A54, IF(OR(NOT(ISNUMBER(E19)), NOT(ISNUMBER(I19))), Auswahl!A53, ""))</f>
        <v>#VALUE!</v>
      </c>
      <c r="C21" s="318"/>
      <c r="D21" s="318"/>
      <c r="E21" s="318"/>
      <c r="F21" s="318"/>
      <c r="G21" s="318"/>
      <c r="H21" s="318"/>
      <c r="I21" s="318"/>
      <c r="J21" s="318"/>
      <c r="K21" s="318"/>
      <c r="L21" s="318"/>
      <c r="M21" s="319"/>
    </row>
    <row r="22" spans="2:14" x14ac:dyDescent="0.35">
      <c r="E22" s="253"/>
    </row>
    <row r="23" spans="2:14" x14ac:dyDescent="0.35">
      <c r="E23" s="253"/>
    </row>
    <row r="24" spans="2:14" x14ac:dyDescent="0.35">
      <c r="E24" s="253"/>
    </row>
  </sheetData>
  <sheetProtection algorithmName="SHA-512" hashValue="Cc6k/E6iSHAMN2DoZyQE7zwfTHr4Ivq4AzNZHbJ//GEA4VW6E4/Az6bvV7DHEzj012lJYpeyEnsD05MJj5MnYg==" saltValue="LCYf2hToEXTrf/n/dOgCGA==" spinCount="100000" sheet="1" objects="1" scenarios="1" selectLockedCells="1"/>
  <mergeCells count="5">
    <mergeCell ref="H10:J12"/>
    <mergeCell ref="F2:M2"/>
    <mergeCell ref="B2:E2"/>
    <mergeCell ref="B21:M21"/>
    <mergeCell ref="B8:D8"/>
  </mergeCells>
  <conditionalFormatting sqref="E19 I19">
    <cfRule type="cellIs" dxfId="4" priority="6" operator="greaterThan">
      <formula>1</formula>
    </cfRule>
  </conditionalFormatting>
  <conditionalFormatting sqref="L19">
    <cfRule type="cellIs" dxfId="3" priority="4" operator="greaterThan">
      <formula>1</formula>
    </cfRule>
  </conditionalFormatting>
  <conditionalFormatting sqref="F2:M2">
    <cfRule type="containsText" dxfId="2" priority="3" operator="containsText" text="Hinweis">
      <formula>NOT(ISERROR(SEARCH("Hinweis",F2)))</formula>
    </cfRule>
  </conditionalFormatting>
  <conditionalFormatting sqref="H10:J12">
    <cfRule type="containsText" dxfId="1" priority="2" operator="containsText" text="Hinweis">
      <formula>NOT(ISERROR(SEARCH("Hinweis",H10)))</formula>
    </cfRule>
  </conditionalFormatting>
  <conditionalFormatting sqref="B21">
    <cfRule type="containsText" dxfId="0" priority="1" operator="containsText" text="Hinweis">
      <formula>NOT(ISERROR(SEARCH("Hinweis",B21)))</formula>
    </cfRule>
  </conditionalFormatting>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7</xdr:col>
                    <xdr:colOff>0</xdr:colOff>
                    <xdr:row>4</xdr:row>
                    <xdr:rowOff>184150</xdr:rowOff>
                  </from>
                  <to>
                    <xdr:col>8</xdr:col>
                    <xdr:colOff>565150</xdr:colOff>
                    <xdr:row>6</xdr:row>
                    <xdr:rowOff>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1</xdr:col>
                    <xdr:colOff>19050</xdr:colOff>
                    <xdr:row>4</xdr:row>
                    <xdr:rowOff>184150</xdr:rowOff>
                  </from>
                  <to>
                    <xdr:col>3</xdr:col>
                    <xdr:colOff>781050</xdr:colOff>
                    <xdr:row>6</xdr:row>
                    <xdr:rowOff>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7</xdr:col>
                    <xdr:colOff>31750</xdr:colOff>
                    <xdr:row>7</xdr:row>
                    <xdr:rowOff>209550</xdr:rowOff>
                  </from>
                  <to>
                    <xdr:col>9</xdr:col>
                    <xdr:colOff>679450</xdr:colOff>
                    <xdr:row>7</xdr:row>
                    <xdr:rowOff>400050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4"/>
  <sheetViews>
    <sheetView topLeftCell="A67" zoomScale="112" workbookViewId="0">
      <selection activeCell="B94" sqref="B94"/>
    </sheetView>
  </sheetViews>
  <sheetFormatPr baseColWidth="10" defaultRowHeight="14.5" x14ac:dyDescent="0.35"/>
  <cols>
    <col min="1" max="1" width="38.453125" customWidth="1"/>
    <col min="2" max="2" width="15.26953125" customWidth="1"/>
    <col min="3" max="3" width="14.81640625" customWidth="1"/>
    <col min="4" max="4" width="16.7265625" customWidth="1"/>
    <col min="5" max="5" width="8.453125" bestFit="1" customWidth="1"/>
    <col min="6" max="6" width="12.453125" bestFit="1" customWidth="1"/>
    <col min="9" max="9" width="12.1796875" bestFit="1" customWidth="1"/>
    <col min="13" max="13" width="16.81640625" customWidth="1"/>
    <col min="15" max="15" width="14.7265625" customWidth="1"/>
  </cols>
  <sheetData>
    <row r="1" spans="1:19" x14ac:dyDescent="0.35">
      <c r="A1" s="34" t="s">
        <v>71</v>
      </c>
    </row>
    <row r="2" spans="1:19" ht="15" thickBot="1" x14ac:dyDescent="0.4">
      <c r="B2" s="34" t="s">
        <v>85</v>
      </c>
      <c r="F2" s="68"/>
    </row>
    <row r="3" spans="1:19" x14ac:dyDescent="0.35">
      <c r="A3" t="s">
        <v>158</v>
      </c>
      <c r="B3" s="45" t="s">
        <v>72</v>
      </c>
    </row>
    <row r="4" spans="1:19" ht="15" thickBot="1" x14ac:dyDescent="0.4">
      <c r="A4" t="s">
        <v>79</v>
      </c>
      <c r="B4" s="55">
        <v>1</v>
      </c>
    </row>
    <row r="5" spans="1:19" ht="15" thickBot="1" x14ac:dyDescent="0.4"/>
    <row r="6" spans="1:19" x14ac:dyDescent="0.35">
      <c r="A6" t="s">
        <v>122</v>
      </c>
      <c r="B6" s="45" t="s">
        <v>101</v>
      </c>
    </row>
    <row r="7" spans="1:19" ht="15" thickBot="1" x14ac:dyDescent="0.4">
      <c r="A7" t="s">
        <v>157</v>
      </c>
      <c r="B7" s="55">
        <v>3</v>
      </c>
      <c r="F7" s="68"/>
    </row>
    <row r="8" spans="1:19" x14ac:dyDescent="0.35">
      <c r="A8" t="s">
        <v>118</v>
      </c>
      <c r="F8" s="68"/>
    </row>
    <row r="9" spans="1:19" ht="15" thickBot="1" x14ac:dyDescent="0.4">
      <c r="D9" s="8"/>
      <c r="F9" s="68"/>
      <c r="G9" s="8"/>
      <c r="L9" s="34" t="s">
        <v>263</v>
      </c>
    </row>
    <row r="10" spans="1:19" x14ac:dyDescent="0.35">
      <c r="A10" s="5" t="s">
        <v>81</v>
      </c>
      <c r="B10" s="64" t="str">
        <f>Hauptmenü!O15</f>
        <v/>
      </c>
      <c r="C10" s="6" t="s">
        <v>10</v>
      </c>
      <c r="D10" s="8"/>
      <c r="E10" s="8"/>
      <c r="F10" s="8"/>
      <c r="G10" s="8"/>
    </row>
    <row r="11" spans="1:19" x14ac:dyDescent="0.35">
      <c r="A11" s="50" t="s">
        <v>82</v>
      </c>
      <c r="B11" s="65" t="str">
        <f>Hauptmenü!O18</f>
        <v/>
      </c>
      <c r="C11" s="51" t="s">
        <v>10</v>
      </c>
      <c r="D11" s="8"/>
      <c r="E11" s="8"/>
      <c r="F11" s="8"/>
      <c r="G11" s="8"/>
      <c r="L11" s="100" t="s">
        <v>239</v>
      </c>
      <c r="M11" s="100">
        <v>120</v>
      </c>
      <c r="N11" s="100" t="s">
        <v>10</v>
      </c>
      <c r="O11" s="100"/>
      <c r="P11" s="100"/>
      <c r="Q11" s="100"/>
      <c r="R11" s="100"/>
      <c r="S11" s="100"/>
    </row>
    <row r="12" spans="1:19" x14ac:dyDescent="0.35">
      <c r="A12" s="50" t="s">
        <v>205</v>
      </c>
      <c r="B12" s="65" t="str">
        <f>Hauptmenü!O19</f>
        <v/>
      </c>
      <c r="C12" s="51" t="s">
        <v>10</v>
      </c>
      <c r="D12" s="8"/>
      <c r="E12" s="8"/>
      <c r="F12" s="8"/>
      <c r="G12" s="8"/>
      <c r="L12" s="100" t="s">
        <v>88</v>
      </c>
      <c r="M12" s="101">
        <v>2000000</v>
      </c>
      <c r="N12" s="100" t="s">
        <v>260</v>
      </c>
      <c r="O12" s="100"/>
      <c r="P12" s="100"/>
      <c r="Q12" s="100"/>
      <c r="R12" s="100"/>
      <c r="S12" s="100"/>
    </row>
    <row r="13" spans="1:19" x14ac:dyDescent="0.35">
      <c r="A13" s="50" t="s">
        <v>98</v>
      </c>
      <c r="B13" s="8">
        <v>0.52</v>
      </c>
      <c r="C13" s="51" t="s">
        <v>100</v>
      </c>
      <c r="D13" s="8"/>
      <c r="E13" s="8"/>
      <c r="F13" s="8"/>
      <c r="G13" s="8"/>
      <c r="L13" s="100" t="s">
        <v>193</v>
      </c>
      <c r="M13" s="102">
        <v>1.5</v>
      </c>
      <c r="N13" s="100" t="s">
        <v>57</v>
      </c>
      <c r="O13" s="100"/>
      <c r="P13" s="100"/>
      <c r="Q13" s="100"/>
      <c r="R13" s="100"/>
      <c r="S13" s="100"/>
    </row>
    <row r="14" spans="1:19" x14ac:dyDescent="0.35">
      <c r="A14" s="50" t="s">
        <v>99</v>
      </c>
      <c r="B14" s="8">
        <v>0.3</v>
      </c>
      <c r="C14" s="51" t="s">
        <v>100</v>
      </c>
      <c r="D14" s="8"/>
      <c r="E14" s="8"/>
      <c r="F14" s="8"/>
      <c r="G14" s="8"/>
      <c r="L14" s="100" t="s">
        <v>240</v>
      </c>
      <c r="M14" s="103">
        <f>4/3*PI()*M13^3</f>
        <v>14.137166941154067</v>
      </c>
      <c r="N14" s="100" t="s">
        <v>14</v>
      </c>
      <c r="O14" s="100"/>
      <c r="P14" s="100"/>
      <c r="Q14" s="100"/>
      <c r="R14" s="100"/>
      <c r="S14" s="100"/>
    </row>
    <row r="15" spans="1:19" ht="15" thickBot="1" x14ac:dyDescent="0.4">
      <c r="A15" s="7" t="s">
        <v>206</v>
      </c>
      <c r="B15" s="9">
        <v>0.4</v>
      </c>
      <c r="C15" s="47" t="s">
        <v>100</v>
      </c>
      <c r="D15" s="8"/>
      <c r="E15" s="8"/>
      <c r="F15" s="8"/>
      <c r="G15" s="8"/>
      <c r="L15" s="100" t="s">
        <v>241</v>
      </c>
      <c r="M15" s="104">
        <f>M14*M12*M11</f>
        <v>3392920065.876976</v>
      </c>
      <c r="N15" s="100" t="s">
        <v>41</v>
      </c>
      <c r="O15" s="100"/>
      <c r="P15" s="100"/>
      <c r="Q15" s="100"/>
      <c r="R15" s="100"/>
      <c r="S15" s="100"/>
    </row>
    <row r="16" spans="1:19" x14ac:dyDescent="0.35">
      <c r="D16" s="8"/>
      <c r="E16" s="8"/>
      <c r="F16" s="8"/>
      <c r="G16" s="8"/>
      <c r="K16" s="99"/>
      <c r="L16" s="100" t="s">
        <v>224</v>
      </c>
      <c r="M16" s="101">
        <v>8</v>
      </c>
      <c r="N16" s="100" t="s">
        <v>57</v>
      </c>
      <c r="O16" s="100"/>
      <c r="P16" s="100"/>
      <c r="Q16" s="100"/>
      <c r="R16" s="100"/>
      <c r="S16" s="100"/>
    </row>
    <row r="17" spans="1:19" x14ac:dyDescent="0.35">
      <c r="A17" s="34" t="s">
        <v>72</v>
      </c>
      <c r="D17" s="8"/>
      <c r="E17" s="8"/>
      <c r="F17" s="8"/>
      <c r="G17" s="8"/>
      <c r="L17" s="100" t="s">
        <v>247</v>
      </c>
      <c r="M17" s="101">
        <v>1.6E-7</v>
      </c>
      <c r="N17" s="100" t="s">
        <v>256</v>
      </c>
      <c r="O17" s="100"/>
      <c r="P17" s="100"/>
      <c r="Q17" s="100"/>
      <c r="R17" s="100"/>
      <c r="S17" s="100"/>
    </row>
    <row r="18" spans="1:19" ht="15" thickBot="1" x14ac:dyDescent="0.4">
      <c r="L18" s="100" t="s">
        <v>238</v>
      </c>
      <c r="M18" s="101">
        <f>M17*M15*3/4</f>
        <v>407.1504079052371</v>
      </c>
      <c r="N18" s="100" t="s">
        <v>257</v>
      </c>
      <c r="O18" s="100"/>
      <c r="P18" s="100"/>
      <c r="Q18" s="100"/>
      <c r="R18" s="100"/>
      <c r="S18" s="100"/>
    </row>
    <row r="19" spans="1:19" x14ac:dyDescent="0.35">
      <c r="A19" s="5" t="s">
        <v>80</v>
      </c>
      <c r="B19" s="66">
        <f>POWER(Dosisabschätzung!E8*Dosisabschätzung!E9/PI(), 1/2)</f>
        <v>0</v>
      </c>
      <c r="C19" s="6" t="s">
        <v>57</v>
      </c>
      <c r="L19" s="100" t="s">
        <v>258</v>
      </c>
      <c r="M19" s="101">
        <f>M18*(2/M13^2-M16/M13^3*(2*M13+M16)/(M13+M16)*LN((2*M13+M16)/M16))</f>
        <v>6.045466548145785</v>
      </c>
      <c r="N19" s="100" t="s">
        <v>55</v>
      </c>
      <c r="O19" s="100"/>
      <c r="P19" s="100"/>
      <c r="Q19" s="100"/>
      <c r="R19" s="100"/>
      <c r="S19" s="100"/>
    </row>
    <row r="20" spans="1:19" x14ac:dyDescent="0.35">
      <c r="A20" s="50" t="s">
        <v>88</v>
      </c>
      <c r="B20" s="62">
        <f>IF(Hauptmenü!AA23="", 2, Hauptmenü!AA23)</f>
        <v>2</v>
      </c>
      <c r="C20" s="51" t="s">
        <v>30</v>
      </c>
      <c r="D20" t="s">
        <v>90</v>
      </c>
      <c r="L20" s="100" t="s">
        <v>259</v>
      </c>
      <c r="M20" s="100">
        <f>M11*0.52</f>
        <v>62.400000000000006</v>
      </c>
      <c r="N20" s="100" t="s">
        <v>55</v>
      </c>
      <c r="O20" s="100"/>
      <c r="P20" s="100"/>
      <c r="Q20" s="100"/>
      <c r="R20" s="100"/>
      <c r="S20" s="100"/>
    </row>
    <row r="21" spans="1:19" ht="15" thickBot="1" x14ac:dyDescent="0.4">
      <c r="A21" s="7" t="s">
        <v>86</v>
      </c>
      <c r="B21" s="63">
        <f>IF(Dosisabschätzung!E11&gt;0.00001, Dosisabschätzung!E11, 0.00001)</f>
        <v>1.0000000000000001E-5</v>
      </c>
      <c r="C21" s="47" t="s">
        <v>57</v>
      </c>
      <c r="L21" s="100"/>
      <c r="M21" s="100"/>
      <c r="N21" s="100"/>
      <c r="O21" s="100"/>
      <c r="P21" s="100"/>
      <c r="Q21" s="100"/>
      <c r="R21" s="100"/>
      <c r="S21" s="100"/>
    </row>
    <row r="22" spans="1:19" ht="15" thickBot="1" x14ac:dyDescent="0.4">
      <c r="L22" s="100" t="s">
        <v>262</v>
      </c>
      <c r="M22" s="100"/>
      <c r="N22" s="100"/>
      <c r="O22" s="100"/>
      <c r="P22" s="100"/>
      <c r="Q22" s="100"/>
      <c r="R22" s="100"/>
      <c r="S22" s="100"/>
    </row>
    <row r="23" spans="1:19" x14ac:dyDescent="0.35">
      <c r="A23" s="5" t="s">
        <v>83</v>
      </c>
      <c r="B23" s="56" t="e">
        <f>B19*B19*B19*PI()*4/3*B20*B10*1000000</f>
        <v>#VALUE!</v>
      </c>
      <c r="C23" s="6" t="s">
        <v>41</v>
      </c>
      <c r="E23" s="98"/>
      <c r="L23" s="100"/>
      <c r="M23" s="100"/>
      <c r="N23" s="100"/>
      <c r="O23" s="100"/>
      <c r="P23" s="100"/>
      <c r="Q23" s="100"/>
      <c r="R23" s="100"/>
      <c r="S23" s="100"/>
    </row>
    <row r="24" spans="1:19" x14ac:dyDescent="0.35">
      <c r="A24" s="50" t="s">
        <v>84</v>
      </c>
      <c r="B24" s="57">
        <v>2.3999999999999998E-7</v>
      </c>
      <c r="C24" s="51" t="s">
        <v>89</v>
      </c>
      <c r="L24" s="100" t="s">
        <v>242</v>
      </c>
      <c r="M24" s="100" t="s">
        <v>253</v>
      </c>
      <c r="N24" s="100">
        <v>0.87819999999999998</v>
      </c>
      <c r="O24" s="100" t="s">
        <v>243</v>
      </c>
      <c r="P24" s="101">
        <v>37000000000</v>
      </c>
      <c r="Q24" s="100" t="s">
        <v>245</v>
      </c>
      <c r="R24" s="101">
        <f>N24/100/P24</f>
        <v>2.3735135135135136E-13</v>
      </c>
      <c r="S24" s="100" t="s">
        <v>248</v>
      </c>
    </row>
    <row r="25" spans="1:19" x14ac:dyDescent="0.35">
      <c r="A25" s="50" t="s">
        <v>95</v>
      </c>
      <c r="B25" s="58" t="e">
        <f>3/4*B24*B23*(2/$B$19^2-$B$21*(2*$B$19+$B$21)/$B$19^3/($B$19+$B$21)*LN((2*$B$19+$B$21)/$B$21))</f>
        <v>#VALUE!</v>
      </c>
      <c r="C25" s="51" t="s">
        <v>55</v>
      </c>
      <c r="L25" s="100"/>
      <c r="M25" s="100" t="s">
        <v>2</v>
      </c>
      <c r="N25" s="101">
        <v>3.27E-6</v>
      </c>
      <c r="O25" s="100" t="s">
        <v>244</v>
      </c>
      <c r="P25" s="100"/>
      <c r="Q25" s="100"/>
      <c r="R25" s="101">
        <f>N25/1000000/1000</f>
        <v>3.2699999999999999E-15</v>
      </c>
      <c r="S25" s="100" t="s">
        <v>248</v>
      </c>
    </row>
    <row r="26" spans="1:19" x14ac:dyDescent="0.35">
      <c r="A26" s="50" t="s">
        <v>92</v>
      </c>
      <c r="B26" s="58" t="e">
        <f>B13*B10</f>
        <v>#VALUE!</v>
      </c>
      <c r="C26" s="51" t="s">
        <v>55</v>
      </c>
      <c r="L26" s="100"/>
      <c r="M26" s="100" t="s">
        <v>246</v>
      </c>
      <c r="N26" s="101">
        <v>8.7000000000000001E-5</v>
      </c>
      <c r="O26" s="100"/>
      <c r="P26" s="100"/>
      <c r="Q26" s="100"/>
      <c r="R26" s="101">
        <f>N26/1000000/1000</f>
        <v>8.6999999999999995E-14</v>
      </c>
      <c r="S26" s="100" t="s">
        <v>248</v>
      </c>
    </row>
    <row r="27" spans="1:19" ht="15" thickBot="1" x14ac:dyDescent="0.4">
      <c r="A27" s="7" t="s">
        <v>93</v>
      </c>
      <c r="B27" s="59" t="e">
        <f>MIN(B26, B25)</f>
        <v>#VALUE!</v>
      </c>
      <c r="C27" s="47" t="s">
        <v>55</v>
      </c>
      <c r="L27" s="100"/>
      <c r="M27" s="100" t="s">
        <v>249</v>
      </c>
      <c r="N27" s="101">
        <v>2.2000000000000001E-4</v>
      </c>
      <c r="O27" s="100"/>
      <c r="P27" s="100"/>
      <c r="Q27" s="100"/>
      <c r="R27" s="101">
        <f>N27/1000000/1000</f>
        <v>2.2000000000000002E-13</v>
      </c>
      <c r="S27" s="100" t="s">
        <v>248</v>
      </c>
    </row>
    <row r="28" spans="1:19" ht="15" thickBot="1" x14ac:dyDescent="0.4">
      <c r="L28" s="100"/>
      <c r="M28" s="100" t="s">
        <v>3</v>
      </c>
      <c r="N28" s="101">
        <v>6.7999999999999999E-5</v>
      </c>
      <c r="O28" s="100"/>
      <c r="P28" s="100"/>
      <c r="Q28" s="100"/>
      <c r="R28" s="101">
        <f>N28/1000000/1000</f>
        <v>6.8000000000000001E-14</v>
      </c>
      <c r="S28" s="100" t="s">
        <v>248</v>
      </c>
    </row>
    <row r="29" spans="1:19" x14ac:dyDescent="0.35">
      <c r="A29" s="5" t="s">
        <v>91</v>
      </c>
      <c r="B29" s="56" t="e">
        <f>B11*B20*B19*B19*B19*4/3*PI()*1000000</f>
        <v>#VALUE!</v>
      </c>
      <c r="C29" s="6" t="s">
        <v>41</v>
      </c>
      <c r="L29" s="100"/>
      <c r="M29" s="100" t="s">
        <v>187</v>
      </c>
      <c r="N29" s="100"/>
      <c r="O29" s="100"/>
      <c r="P29" s="100"/>
      <c r="Q29" s="100"/>
      <c r="R29" s="101">
        <f>SUM(R25:R28)</f>
        <v>3.7827000000000001E-13</v>
      </c>
      <c r="S29" s="100" t="s">
        <v>248</v>
      </c>
    </row>
    <row r="30" spans="1:19" x14ac:dyDescent="0.35">
      <c r="A30" s="50" t="s">
        <v>208</v>
      </c>
      <c r="B30" s="57">
        <v>1.4000000000000001E-7</v>
      </c>
      <c r="C30" s="51" t="s">
        <v>89</v>
      </c>
      <c r="E30" s="68"/>
      <c r="L30" s="100"/>
      <c r="M30" s="100" t="s">
        <v>250</v>
      </c>
      <c r="N30" s="100"/>
      <c r="O30" s="100"/>
      <c r="P30" s="100"/>
      <c r="Q30" s="100"/>
      <c r="R30" s="101">
        <v>3.0999999999999999E-13</v>
      </c>
      <c r="S30" s="100" t="s">
        <v>248</v>
      </c>
    </row>
    <row r="31" spans="1:19" x14ac:dyDescent="0.35">
      <c r="A31" s="50" t="s">
        <v>94</v>
      </c>
      <c r="B31" s="58" t="e">
        <f>3/4*B30*B29*(2/$B$19^2-$B$21*(2*$B$19+$B$21)/$B$19^3/($B$19+$B$21)*LN((2*$B$19+$B$21)/$B$21))</f>
        <v>#VALUE!</v>
      </c>
      <c r="C31" s="51" t="s">
        <v>55</v>
      </c>
      <c r="L31" s="100"/>
      <c r="M31" s="100"/>
      <c r="N31" s="100"/>
      <c r="O31" s="100"/>
      <c r="P31" s="100"/>
      <c r="Q31" s="100"/>
      <c r="R31" s="100"/>
      <c r="S31" s="100"/>
    </row>
    <row r="32" spans="1:19" x14ac:dyDescent="0.35">
      <c r="A32" s="50" t="s">
        <v>96</v>
      </c>
      <c r="B32" s="58" t="e">
        <f>B14*B11</f>
        <v>#VALUE!</v>
      </c>
      <c r="C32" s="51" t="s">
        <v>55</v>
      </c>
      <c r="L32" s="100" t="s">
        <v>242</v>
      </c>
      <c r="M32" s="100" t="s">
        <v>251</v>
      </c>
      <c r="N32" s="100">
        <v>0.49530000000000002</v>
      </c>
      <c r="O32" s="100" t="s">
        <v>243</v>
      </c>
      <c r="P32" s="101">
        <v>37000000000</v>
      </c>
      <c r="Q32" s="100" t="s">
        <v>245</v>
      </c>
      <c r="R32" s="101">
        <f>N32/100/P32</f>
        <v>1.3386486486486487E-13</v>
      </c>
      <c r="S32" s="100" t="s">
        <v>248</v>
      </c>
    </row>
    <row r="33" spans="1:21" ht="15" thickBot="1" x14ac:dyDescent="0.4">
      <c r="A33" s="7" t="s">
        <v>97</v>
      </c>
      <c r="B33" s="59" t="e">
        <f>MIN(B31:B32)</f>
        <v>#VALUE!</v>
      </c>
      <c r="C33" s="47" t="s">
        <v>55</v>
      </c>
      <c r="L33" s="100"/>
      <c r="M33" s="100" t="s">
        <v>252</v>
      </c>
      <c r="N33" s="100">
        <f>1.525*0.36</f>
        <v>0.54899999999999993</v>
      </c>
      <c r="O33" s="100" t="s">
        <v>243</v>
      </c>
      <c r="P33" s="101">
        <v>37000000000</v>
      </c>
      <c r="Q33" s="100" t="s">
        <v>245</v>
      </c>
      <c r="R33" s="101">
        <f>N33/100/P33</f>
        <v>1.4837837837837835E-13</v>
      </c>
      <c r="S33" s="100" t="s">
        <v>248</v>
      </c>
    </row>
    <row r="34" spans="1:21" ht="15" thickBot="1" x14ac:dyDescent="0.4">
      <c r="A34" s="8"/>
      <c r="B34" s="58"/>
      <c r="C34" s="8"/>
      <c r="L34" s="100"/>
      <c r="M34" s="100" t="s">
        <v>187</v>
      </c>
      <c r="N34" s="100"/>
      <c r="O34" s="100"/>
      <c r="P34" s="100"/>
      <c r="Q34" s="100"/>
      <c r="R34" s="101">
        <f>R32+R33</f>
        <v>2.822432432432432E-13</v>
      </c>
      <c r="S34" s="100" t="s">
        <v>248</v>
      </c>
      <c r="T34" s="68"/>
      <c r="U34" s="68"/>
    </row>
    <row r="35" spans="1:21" x14ac:dyDescent="0.35">
      <c r="A35" s="5" t="s">
        <v>207</v>
      </c>
      <c r="B35" s="56" t="e">
        <f>B12*B20*B19*B19*B19*4/3*PI()*1000000</f>
        <v>#VALUE!</v>
      </c>
      <c r="C35" s="6" t="s">
        <v>41</v>
      </c>
      <c r="L35" s="100"/>
      <c r="M35" s="100"/>
      <c r="N35" s="100"/>
      <c r="O35" s="100"/>
      <c r="P35" s="100"/>
      <c r="Q35" s="100"/>
      <c r="R35" s="100"/>
      <c r="S35" s="100"/>
    </row>
    <row r="36" spans="1:21" x14ac:dyDescent="0.35">
      <c r="A36" s="50" t="s">
        <v>209</v>
      </c>
      <c r="B36" s="57">
        <v>1.6E-7</v>
      </c>
      <c r="C36" s="51" t="s">
        <v>89</v>
      </c>
      <c r="E36" s="68"/>
      <c r="L36" s="100"/>
      <c r="M36" s="100" t="s">
        <v>254</v>
      </c>
      <c r="N36" s="101">
        <v>2.2780000000000001E-4</v>
      </c>
      <c r="O36" s="100" t="s">
        <v>244</v>
      </c>
      <c r="P36" s="100"/>
      <c r="Q36" s="100"/>
      <c r="R36" s="101">
        <f>N36/1000000/1000</f>
        <v>2.278E-13</v>
      </c>
      <c r="S36" s="100" t="s">
        <v>248</v>
      </c>
    </row>
    <row r="37" spans="1:21" x14ac:dyDescent="0.35">
      <c r="A37" s="50" t="s">
        <v>210</v>
      </c>
      <c r="B37" s="58" t="e">
        <f>3/4*B36*B35*(2/$B$19^2-$B$21*(2*$B$19+$B$21)/$B$19^3/($B$19+$B$21)*LN((2*$B$19+$B$21)/$B$21))</f>
        <v>#VALUE!</v>
      </c>
      <c r="C37" s="51" t="s">
        <v>55</v>
      </c>
      <c r="L37" s="100"/>
      <c r="M37" s="100" t="s">
        <v>255</v>
      </c>
      <c r="N37" s="101">
        <f>0.00045*0.35</f>
        <v>1.5749999999999998E-4</v>
      </c>
      <c r="O37" s="100" t="s">
        <v>244</v>
      </c>
      <c r="P37" s="100"/>
      <c r="Q37" s="100"/>
      <c r="R37" s="101">
        <f>N37/1000000/1000</f>
        <v>1.5749999999999999E-13</v>
      </c>
      <c r="S37" s="100" t="s">
        <v>248</v>
      </c>
    </row>
    <row r="38" spans="1:21" x14ac:dyDescent="0.35">
      <c r="A38" s="50" t="s">
        <v>211</v>
      </c>
      <c r="B38" s="58" t="e">
        <f>B12*B15</f>
        <v>#VALUE!</v>
      </c>
      <c r="C38" s="51" t="s">
        <v>55</v>
      </c>
      <c r="L38" s="100"/>
      <c r="M38" s="100" t="s">
        <v>187</v>
      </c>
      <c r="N38" s="100"/>
      <c r="O38" s="100"/>
      <c r="P38" s="100"/>
      <c r="Q38" s="100"/>
      <c r="R38" s="101">
        <f>R36+R37</f>
        <v>3.8529999999999998E-13</v>
      </c>
      <c r="S38" s="100" t="s">
        <v>248</v>
      </c>
      <c r="T38" s="68"/>
      <c r="U38" s="68"/>
    </row>
    <row r="39" spans="1:21" ht="15" thickBot="1" x14ac:dyDescent="0.4">
      <c r="A39" s="7" t="s">
        <v>212</v>
      </c>
      <c r="B39" s="59" t="e">
        <f>MIN(B37:B38)</f>
        <v>#VALUE!</v>
      </c>
      <c r="C39" s="47" t="s">
        <v>55</v>
      </c>
      <c r="L39" s="100"/>
      <c r="M39" s="100"/>
      <c r="N39" s="100"/>
      <c r="O39" s="100"/>
      <c r="P39" s="100"/>
      <c r="Q39" s="100"/>
      <c r="R39" s="100"/>
      <c r="S39" s="100"/>
    </row>
    <row r="40" spans="1:21" x14ac:dyDescent="0.35">
      <c r="A40" s="8"/>
      <c r="B40" s="58"/>
      <c r="C40" s="8"/>
      <c r="L40" s="100"/>
      <c r="M40" s="100" t="s">
        <v>261</v>
      </c>
      <c r="N40" s="101">
        <v>5.3499999999999999E-4</v>
      </c>
      <c r="O40" s="100" t="s">
        <v>244</v>
      </c>
      <c r="P40" s="100"/>
      <c r="Q40" s="100"/>
      <c r="R40" s="101">
        <f>N40/1000000/1000</f>
        <v>5.3500000000000004E-13</v>
      </c>
      <c r="S40" s="100" t="s">
        <v>248</v>
      </c>
    </row>
    <row r="41" spans="1:21" ht="15" thickBot="1" x14ac:dyDescent="0.4"/>
    <row r="42" spans="1:21" x14ac:dyDescent="0.35">
      <c r="A42" s="5" t="s">
        <v>213</v>
      </c>
      <c r="B42" s="10"/>
      <c r="C42" s="6"/>
    </row>
    <row r="43" spans="1:21" x14ac:dyDescent="0.35">
      <c r="A43" s="50" t="s">
        <v>87</v>
      </c>
      <c r="B43" s="60" t="e">
        <f>B27+B33+B39</f>
        <v>#VALUE!</v>
      </c>
      <c r="C43" s="51" t="s">
        <v>55</v>
      </c>
    </row>
    <row r="44" spans="1:21" ht="15" thickBot="1" x14ac:dyDescent="0.4">
      <c r="A44" s="7" t="s">
        <v>129</v>
      </c>
      <c r="B44" s="61" t="e">
        <f>0.6*B43</f>
        <v>#VALUE!</v>
      </c>
      <c r="C44" s="47" t="s">
        <v>55</v>
      </c>
    </row>
    <row r="45" spans="1:21" ht="15" thickBot="1" x14ac:dyDescent="0.4">
      <c r="A45" s="8"/>
      <c r="B45" s="8"/>
      <c r="C45" s="8"/>
    </row>
    <row r="46" spans="1:21" ht="15" thickBot="1" x14ac:dyDescent="0.4">
      <c r="A46" s="70" t="s">
        <v>130</v>
      </c>
      <c r="B46" s="91" t="e">
        <f>0.6*(B26+B32+B38)</f>
        <v>#VALUE!</v>
      </c>
      <c r="C46" s="71" t="s">
        <v>55</v>
      </c>
    </row>
    <row r="48" spans="1:21" x14ac:dyDescent="0.35">
      <c r="A48" s="34" t="s">
        <v>101</v>
      </c>
    </row>
    <row r="49" spans="1:11" ht="15" thickBot="1" x14ac:dyDescent="0.4">
      <c r="A49" s="34"/>
    </row>
    <row r="50" spans="1:11" x14ac:dyDescent="0.35">
      <c r="A50" s="69" t="s">
        <v>126</v>
      </c>
      <c r="B50" s="10">
        <v>0.36</v>
      </c>
      <c r="C50" s="6" t="s">
        <v>119</v>
      </c>
      <c r="D50" t="s">
        <v>120</v>
      </c>
    </row>
    <row r="51" spans="1:11" x14ac:dyDescent="0.35">
      <c r="A51" s="50" t="s">
        <v>264</v>
      </c>
      <c r="B51" s="46">
        <v>0.21</v>
      </c>
      <c r="C51" s="51" t="s">
        <v>119</v>
      </c>
      <c r="D51" t="s">
        <v>120</v>
      </c>
      <c r="K51" s="68"/>
    </row>
    <row r="52" spans="1:11" x14ac:dyDescent="0.35">
      <c r="A52" s="50" t="s">
        <v>214</v>
      </c>
      <c r="B52" s="105">
        <v>0.24</v>
      </c>
      <c r="C52" s="51" t="s">
        <v>119</v>
      </c>
      <c r="D52" t="s">
        <v>120</v>
      </c>
    </row>
    <row r="53" spans="1:11" ht="15" thickBot="1" x14ac:dyDescent="0.4">
      <c r="A53" s="7" t="s">
        <v>125</v>
      </c>
      <c r="B53" s="61" t="e">
        <f>(B50*B10+B51*B11+B52*B12)*0.6</f>
        <v>#VALUE!</v>
      </c>
      <c r="C53" s="47" t="s">
        <v>55</v>
      </c>
    </row>
    <row r="54" spans="1:11" ht="15" thickBot="1" x14ac:dyDescent="0.4"/>
    <row r="55" spans="1:11" x14ac:dyDescent="0.35">
      <c r="A55" s="5" t="s">
        <v>159</v>
      </c>
      <c r="B55" s="10"/>
      <c r="C55" s="6"/>
    </row>
    <row r="56" spans="1:11" x14ac:dyDescent="0.35">
      <c r="A56" s="50" t="s">
        <v>123</v>
      </c>
      <c r="B56" s="8">
        <v>0.05</v>
      </c>
      <c r="C56" s="51" t="s">
        <v>100</v>
      </c>
      <c r="D56" t="s">
        <v>104</v>
      </c>
    </row>
    <row r="57" spans="1:11" x14ac:dyDescent="0.35">
      <c r="A57" s="50" t="s">
        <v>124</v>
      </c>
      <c r="B57" s="8">
        <v>0.03</v>
      </c>
      <c r="C57" s="51" t="s">
        <v>100</v>
      </c>
      <c r="D57" t="s">
        <v>104</v>
      </c>
    </row>
    <row r="58" spans="1:11" x14ac:dyDescent="0.35">
      <c r="A58" s="50" t="s">
        <v>215</v>
      </c>
      <c r="B58" s="8">
        <v>0.05</v>
      </c>
      <c r="C58" s="51" t="s">
        <v>100</v>
      </c>
      <c r="D58" t="s">
        <v>216</v>
      </c>
    </row>
    <row r="59" spans="1:11" ht="15" thickBot="1" x14ac:dyDescent="0.4">
      <c r="A59" s="7" t="s">
        <v>105</v>
      </c>
      <c r="B59" s="61" t="e">
        <f>(B56*B10+B57*B11+B58*B12)</f>
        <v>#VALUE!</v>
      </c>
      <c r="C59" s="47" t="s">
        <v>55</v>
      </c>
    </row>
    <row r="61" spans="1:11" x14ac:dyDescent="0.35">
      <c r="A61" s="34" t="s">
        <v>178</v>
      </c>
    </row>
    <row r="62" spans="1:11" ht="15" thickBot="1" x14ac:dyDescent="0.4">
      <c r="A62" s="34"/>
      <c r="C62" s="34" t="s">
        <v>85</v>
      </c>
    </row>
    <row r="63" spans="1:11" x14ac:dyDescent="0.35">
      <c r="A63" t="s">
        <v>179</v>
      </c>
      <c r="B63" t="s">
        <v>181</v>
      </c>
      <c r="C63" s="45" t="s">
        <v>188</v>
      </c>
    </row>
    <row r="64" spans="1:11" ht="15" thickBot="1" x14ac:dyDescent="0.4">
      <c r="A64" t="s">
        <v>180</v>
      </c>
      <c r="C64" s="55">
        <v>2</v>
      </c>
    </row>
    <row r="65" spans="1:4" ht="15" thickBot="1" x14ac:dyDescent="0.4"/>
    <row r="66" spans="1:4" ht="15" thickBot="1" x14ac:dyDescent="0.4">
      <c r="A66" s="4" t="s">
        <v>176</v>
      </c>
      <c r="B66" s="83">
        <f>IF('Dosis Hilfsblatt'!C64=2, IF(ISNUMBER(Dosisabschätzung!I9), Dosisabschätzung!I9, 0.2), 0)</f>
        <v>0</v>
      </c>
      <c r="C66" s="49" t="s">
        <v>177</v>
      </c>
    </row>
    <row r="67" spans="1:4" ht="15" thickBot="1" x14ac:dyDescent="0.4"/>
    <row r="68" spans="1:4" x14ac:dyDescent="0.35">
      <c r="A68" s="5" t="s">
        <v>182</v>
      </c>
      <c r="B68" s="10" t="s">
        <v>185</v>
      </c>
      <c r="C68" s="10" t="s">
        <v>183</v>
      </c>
      <c r="D68" s="6" t="s">
        <v>184</v>
      </c>
    </row>
    <row r="69" spans="1:4" x14ac:dyDescent="0.35">
      <c r="A69" s="86" t="s">
        <v>0</v>
      </c>
      <c r="B69" s="90" t="e">
        <f>4*Hauptmenü!O13</f>
        <v>#VALUE!</v>
      </c>
      <c r="C69" s="8">
        <v>1.6</v>
      </c>
      <c r="D69" s="87" t="e">
        <f>B69*C69*$B$66*1.2/1000</f>
        <v>#VALUE!</v>
      </c>
    </row>
    <row r="70" spans="1:4" x14ac:dyDescent="0.35">
      <c r="A70" s="86" t="s">
        <v>1</v>
      </c>
      <c r="B70" s="90" t="e">
        <f>4*Hauptmenü!O14</f>
        <v>#VALUE!</v>
      </c>
      <c r="C70" s="8">
        <v>2.1</v>
      </c>
      <c r="D70" s="87" t="e">
        <f t="shared" ref="D70:D75" si="0">B70*C70*$B$66*1.2/1000</f>
        <v>#VALUE!</v>
      </c>
    </row>
    <row r="71" spans="1:4" x14ac:dyDescent="0.35">
      <c r="A71" s="86" t="s">
        <v>2</v>
      </c>
      <c r="B71" s="90" t="e">
        <f>4*Hauptmenü!O15</f>
        <v>#VALUE!</v>
      </c>
      <c r="C71" s="8">
        <v>2.2000000000000002</v>
      </c>
      <c r="D71" s="87" t="e">
        <f t="shared" si="0"/>
        <v>#VALUE!</v>
      </c>
    </row>
    <row r="72" spans="1:4" x14ac:dyDescent="0.35">
      <c r="A72" s="86" t="s">
        <v>3</v>
      </c>
      <c r="B72" s="90" t="e">
        <f>4*Hauptmenü!O16</f>
        <v>#VALUE!</v>
      </c>
      <c r="C72" s="8">
        <v>1.1000000000000001</v>
      </c>
      <c r="D72" s="87" t="e">
        <f t="shared" si="0"/>
        <v>#VALUE!</v>
      </c>
    </row>
    <row r="73" spans="1:4" x14ac:dyDescent="0.35">
      <c r="A73" s="86" t="s">
        <v>38</v>
      </c>
      <c r="B73" s="90" t="e">
        <f>4*Hauptmenü!O17</f>
        <v>#VALUE!</v>
      </c>
      <c r="C73" s="8">
        <v>2.2000000000000002</v>
      </c>
      <c r="D73" s="87" t="e">
        <f t="shared" si="0"/>
        <v>#VALUE!</v>
      </c>
    </row>
    <row r="74" spans="1:4" x14ac:dyDescent="0.35">
      <c r="A74" s="86" t="s">
        <v>4</v>
      </c>
      <c r="B74" s="90" t="e">
        <f>4*Hauptmenü!O18</f>
        <v>#VALUE!</v>
      </c>
      <c r="C74" s="8">
        <v>1.7</v>
      </c>
      <c r="D74" s="87" t="e">
        <f t="shared" si="0"/>
        <v>#VALUE!</v>
      </c>
    </row>
    <row r="75" spans="1:4" ht="15" thickBot="1" x14ac:dyDescent="0.4">
      <c r="A75" s="86" t="s">
        <v>5</v>
      </c>
      <c r="B75" s="90" t="e">
        <f>4*Hauptmenü!O19</f>
        <v>#VALUE!</v>
      </c>
      <c r="C75" s="8">
        <v>32</v>
      </c>
      <c r="D75" s="87" t="e">
        <f t="shared" si="0"/>
        <v>#VALUE!</v>
      </c>
    </row>
    <row r="76" spans="1:4" ht="15" thickBot="1" x14ac:dyDescent="0.4">
      <c r="A76" s="7" t="s">
        <v>186</v>
      </c>
      <c r="B76" s="9"/>
      <c r="C76" s="67" t="s">
        <v>187</v>
      </c>
      <c r="D76" s="88" t="e">
        <f>SUM(D69:D75)</f>
        <v>#VALUE!</v>
      </c>
    </row>
    <row r="78" spans="1:4" x14ac:dyDescent="0.35">
      <c r="A78" s="34" t="s">
        <v>59</v>
      </c>
    </row>
    <row r="79" spans="1:4" ht="15" thickBot="1" x14ac:dyDescent="0.4"/>
    <row r="80" spans="1:4" x14ac:dyDescent="0.35">
      <c r="A80" s="5" t="s">
        <v>102</v>
      </c>
      <c r="B80" s="10">
        <v>0.08</v>
      </c>
      <c r="C80" s="6" t="s">
        <v>100</v>
      </c>
      <c r="D80" t="s">
        <v>106</v>
      </c>
    </row>
    <row r="81" spans="1:11" x14ac:dyDescent="0.35">
      <c r="A81" s="50" t="s">
        <v>103</v>
      </c>
      <c r="B81" s="8">
        <f>0.12*0.3/0.8</f>
        <v>4.4999999999999991E-2</v>
      </c>
      <c r="C81" s="51" t="s">
        <v>100</v>
      </c>
      <c r="D81" t="s">
        <v>106</v>
      </c>
    </row>
    <row r="82" spans="1:11" x14ac:dyDescent="0.35">
      <c r="A82" s="50" t="s">
        <v>218</v>
      </c>
      <c r="B82" s="8">
        <f>0.12*0.5/0.8</f>
        <v>7.4999999999999997E-2</v>
      </c>
      <c r="C82" s="51" t="s">
        <v>100</v>
      </c>
      <c r="D82" t="s">
        <v>217</v>
      </c>
    </row>
    <row r="83" spans="1:11" x14ac:dyDescent="0.35">
      <c r="A83" s="50"/>
      <c r="B83" s="8"/>
      <c r="C83" s="51"/>
    </row>
    <row r="84" spans="1:11" ht="15" thickBot="1" x14ac:dyDescent="0.4">
      <c r="A84" s="7" t="s">
        <v>105</v>
      </c>
      <c r="B84" s="89" t="e">
        <f>B80*B10+B81*B11+B82*B12</f>
        <v>#VALUE!</v>
      </c>
      <c r="C84" s="47" t="s">
        <v>55</v>
      </c>
    </row>
    <row r="86" spans="1:11" ht="15" thickBot="1" x14ac:dyDescent="0.4"/>
    <row r="87" spans="1:11" ht="15" thickBot="1" x14ac:dyDescent="0.4">
      <c r="A87" s="34" t="s">
        <v>70</v>
      </c>
      <c r="H87" s="12" t="s">
        <v>75</v>
      </c>
      <c r="I87" s="25" t="s">
        <v>76</v>
      </c>
      <c r="J87" s="25" t="s">
        <v>73</v>
      </c>
      <c r="K87" s="13" t="s">
        <v>59</v>
      </c>
    </row>
    <row r="88" spans="1:11" x14ac:dyDescent="0.35">
      <c r="A88" s="12" t="s">
        <v>62</v>
      </c>
      <c r="B88" s="25"/>
      <c r="C88" s="25">
        <v>1.1000000000000001</v>
      </c>
      <c r="D88" s="25" t="s">
        <v>66</v>
      </c>
      <c r="E88" s="36">
        <f>C88/365*1000</f>
        <v>3.0136986301369864</v>
      </c>
      <c r="F88" s="13" t="s">
        <v>67</v>
      </c>
      <c r="G88" s="94" t="s">
        <v>62</v>
      </c>
      <c r="H88" s="52">
        <f>C88</f>
        <v>1.1000000000000001</v>
      </c>
      <c r="I88" s="35"/>
      <c r="J88" s="35"/>
      <c r="K88" s="15"/>
    </row>
    <row r="89" spans="1:11" x14ac:dyDescent="0.35">
      <c r="A89" s="16" t="s">
        <v>63</v>
      </c>
      <c r="B89" s="11"/>
      <c r="C89" s="11">
        <f>0.4</f>
        <v>0.4</v>
      </c>
      <c r="D89" s="11" t="s">
        <v>66</v>
      </c>
      <c r="E89" s="35">
        <f>C89/365*1000</f>
        <v>1.0958904109589043</v>
      </c>
      <c r="F89" s="15" t="s">
        <v>67</v>
      </c>
      <c r="G89" s="95" t="s">
        <v>63</v>
      </c>
      <c r="H89" s="52">
        <f>C89</f>
        <v>0.4</v>
      </c>
      <c r="I89" s="35"/>
      <c r="J89" s="35"/>
      <c r="K89" s="15"/>
    </row>
    <row r="90" spans="1:11" x14ac:dyDescent="0.35">
      <c r="A90" s="16" t="s">
        <v>64</v>
      </c>
      <c r="B90" s="11"/>
      <c r="C90" s="11">
        <v>0.3</v>
      </c>
      <c r="D90" s="11" t="s">
        <v>66</v>
      </c>
      <c r="E90" s="35">
        <f>C90/365*1000</f>
        <v>0.82191780821917804</v>
      </c>
      <c r="F90" s="15" t="s">
        <v>67</v>
      </c>
      <c r="G90" s="95" t="s">
        <v>64</v>
      </c>
      <c r="H90" s="52">
        <f>C90</f>
        <v>0.3</v>
      </c>
      <c r="I90" s="35"/>
      <c r="J90" s="35"/>
      <c r="K90" s="15"/>
    </row>
    <row r="91" spans="1:11" ht="15" thickBot="1" x14ac:dyDescent="0.4">
      <c r="A91" s="38" t="s">
        <v>65</v>
      </c>
      <c r="B91" s="39"/>
      <c r="C91" s="39">
        <v>0.3</v>
      </c>
      <c r="D91" s="39" t="s">
        <v>66</v>
      </c>
      <c r="E91" s="40">
        <f>C91/365*1000</f>
        <v>0.82191780821917804</v>
      </c>
      <c r="F91" s="41" t="s">
        <v>67</v>
      </c>
      <c r="G91" s="96" t="s">
        <v>65</v>
      </c>
      <c r="H91" s="52">
        <f>C91</f>
        <v>0.3</v>
      </c>
      <c r="I91" s="35"/>
      <c r="J91" s="35"/>
      <c r="K91" s="15"/>
    </row>
    <row r="92" spans="1:11" ht="15" thickBot="1" x14ac:dyDescent="0.4">
      <c r="A92" s="12" t="s">
        <v>68</v>
      </c>
      <c r="B92" s="25"/>
      <c r="C92" s="25"/>
      <c r="D92" s="25"/>
      <c r="E92" s="43" t="e">
        <f>Dosisabschätzung!E19</f>
        <v>#VALUE!</v>
      </c>
      <c r="F92" s="13" t="s">
        <v>66</v>
      </c>
      <c r="G92" s="97" t="s">
        <v>74</v>
      </c>
      <c r="H92" s="17"/>
      <c r="I92" s="53" t="e">
        <f>E92</f>
        <v>#VALUE!</v>
      </c>
      <c r="J92" s="53" t="e">
        <f>E93</f>
        <v>#VALUE!</v>
      </c>
      <c r="K92" s="54" t="e">
        <f>E94</f>
        <v>#VALUE!</v>
      </c>
    </row>
    <row r="93" spans="1:11" x14ac:dyDescent="0.35">
      <c r="A93" s="16" t="s">
        <v>60</v>
      </c>
      <c r="B93" s="11"/>
      <c r="C93" s="11"/>
      <c r="D93" s="11"/>
      <c r="E93" s="42" t="e">
        <f>Dosisabschätzung!I19</f>
        <v>#VALUE!</v>
      </c>
      <c r="F93" s="15" t="s">
        <v>66</v>
      </c>
    </row>
    <row r="94" spans="1:11" ht="15" thickBot="1" x14ac:dyDescent="0.4">
      <c r="A94" s="17" t="s">
        <v>61</v>
      </c>
      <c r="B94" s="26"/>
      <c r="C94" s="26"/>
      <c r="D94" s="26"/>
      <c r="E94" s="44" t="e">
        <f>Dosisabschätzung!L19</f>
        <v>#VALUE!</v>
      </c>
      <c r="F94" s="37" t="s">
        <v>66</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Q22"/>
  <sheetViews>
    <sheetView workbookViewId="0">
      <selection activeCell="G8" sqref="G8"/>
    </sheetView>
  </sheetViews>
  <sheetFormatPr baseColWidth="10" defaultRowHeight="14.5" x14ac:dyDescent="0.35"/>
  <cols>
    <col min="12" max="12" width="17.1796875" customWidth="1"/>
  </cols>
  <sheetData>
    <row r="1" spans="1:17" x14ac:dyDescent="0.35">
      <c r="B1" t="s">
        <v>18</v>
      </c>
      <c r="F1" t="s">
        <v>6</v>
      </c>
      <c r="L1" t="s">
        <v>9</v>
      </c>
    </row>
    <row r="2" spans="1:17" x14ac:dyDescent="0.35">
      <c r="C2" t="s">
        <v>15</v>
      </c>
      <c r="D2" t="s">
        <v>16</v>
      </c>
      <c r="F2" t="s">
        <v>15</v>
      </c>
      <c r="J2" t="s">
        <v>16</v>
      </c>
      <c r="M2" t="s">
        <v>15</v>
      </c>
      <c r="O2" t="s">
        <v>19</v>
      </c>
      <c r="P2" t="s">
        <v>21</v>
      </c>
      <c r="Q2" t="s">
        <v>16</v>
      </c>
    </row>
    <row r="3" spans="1:17" x14ac:dyDescent="0.35">
      <c r="L3" t="s">
        <v>8</v>
      </c>
      <c r="M3" s="1" t="str">
        <f>IF(ISNUMBER(Hauptmenü!AA14), Hauptmenü!AA14, "")</f>
        <v/>
      </c>
    </row>
    <row r="4" spans="1:17" x14ac:dyDescent="0.35">
      <c r="B4" t="s">
        <v>0</v>
      </c>
      <c r="C4" s="1" t="str">
        <f>IF(ISNUMBER(Hauptmenü!S14), Hauptmenü!S14, "")</f>
        <v/>
      </c>
      <c r="D4" s="1" t="str">
        <f>IF(NOT(ISNUMBER(C4)),IF(ISNUMBER(C6),C6/20,""),C4)</f>
        <v/>
      </c>
      <c r="F4" t="s">
        <v>24</v>
      </c>
      <c r="G4" s="1" t="str">
        <f>IF(ISNUMBER(Hauptmenü!W14), Hauptmenü!W14, "")</f>
        <v/>
      </c>
      <c r="I4" t="s">
        <v>0</v>
      </c>
      <c r="J4" s="2" t="str">
        <f>IF(ISNUMBER(J6), J6/20, "")</f>
        <v/>
      </c>
      <c r="L4" t="s">
        <v>0</v>
      </c>
      <c r="M4" s="1" t="str">
        <f>IF(ISNUMBER(Hauptmenü!AA15), Hauptmenü!AA15, "")</f>
        <v/>
      </c>
      <c r="N4" t="s">
        <v>0</v>
      </c>
      <c r="O4" s="3" t="str">
        <f>IF(ISNUMBER(M4), M4, IF(ISNUMBER(M3), M3*0.0124, IF(ISNUMBER(O6), 0.6*O6, "")))</f>
        <v/>
      </c>
      <c r="P4">
        <v>0.02</v>
      </c>
      <c r="Q4" s="2" t="str">
        <f>IF($Q$14, O4*$M$10*P4/$M$12/1000, "")</f>
        <v/>
      </c>
    </row>
    <row r="5" spans="1:17" x14ac:dyDescent="0.35">
      <c r="B5" t="s">
        <v>1</v>
      </c>
      <c r="C5" s="1" t="str">
        <f>IF(ISNUMBER(Hauptmenü!S15), Hauptmenü!S15, "")</f>
        <v/>
      </c>
      <c r="D5" s="1" t="str">
        <f>IF(ISNUMBER(C5), C5, IF(ISNUMBER(D4), 1.7*D4, ""))</f>
        <v/>
      </c>
      <c r="F5" t="s">
        <v>25</v>
      </c>
      <c r="G5" s="1" t="str">
        <f>IF(ISNUMBER(Hauptmenü!W15), Hauptmenü!W15, "")</f>
        <v/>
      </c>
      <c r="I5" t="s">
        <v>1</v>
      </c>
      <c r="J5" s="2" t="str">
        <f>IF(ISNUMBER(J4), J4*1.7, "")</f>
        <v/>
      </c>
      <c r="L5" t="s">
        <v>1</v>
      </c>
      <c r="M5" s="1" t="str">
        <f>IF(ISNUMBER(Hauptmenü!AA16), Hauptmenü!AA16, "")</f>
        <v/>
      </c>
      <c r="N5" t="s">
        <v>1</v>
      </c>
      <c r="O5" s="3" t="str">
        <f>IF(ISNUMBER(M5), M5, IF(ISNUMBER(O4), 1.7*O4, ""))</f>
        <v/>
      </c>
      <c r="P5">
        <v>0.02</v>
      </c>
      <c r="Q5" s="2" t="str">
        <f>IF($Q$14, O5*$M$10*P5/$M$12/1000, "")</f>
        <v/>
      </c>
    </row>
    <row r="6" spans="1:17" x14ac:dyDescent="0.35">
      <c r="B6" t="s">
        <v>2</v>
      </c>
      <c r="C6" s="1" t="str">
        <f>IF(ISNUMBER(Hauptmenü!S16), Hauptmenü!S16, "")</f>
        <v/>
      </c>
      <c r="D6" s="1" t="str">
        <f>IF(ISNUMBER(C6), C6, "")</f>
        <v/>
      </c>
      <c r="F6" t="s">
        <v>128</v>
      </c>
      <c r="G6" s="1" t="str">
        <f>IF(ISNUMBER(Hauptmenü!W16), Hauptmenü!W16, "")</f>
        <v/>
      </c>
      <c r="I6" t="s">
        <v>2</v>
      </c>
      <c r="J6" s="2" t="str">
        <f>IF(OR(ISNUMBER(G8), ISNUMBER(G9)), MAX(G8:G9), "")</f>
        <v/>
      </c>
      <c r="L6" t="s">
        <v>2</v>
      </c>
      <c r="M6" s="1" t="str">
        <f>IF(ISNUMBER(Hauptmenü!AA17), Hauptmenü!AA17, "")</f>
        <v/>
      </c>
      <c r="N6" t="s">
        <v>2</v>
      </c>
      <c r="O6" s="3" t="str">
        <f>IF(ISNUMBER(M6), M6, "")</f>
        <v/>
      </c>
      <c r="P6">
        <v>0.25</v>
      </c>
      <c r="Q6" s="2" t="str">
        <f>IF($Q$14, O6*$M$10*P6/$M$12/1000, "")</f>
        <v/>
      </c>
    </row>
    <row r="7" spans="1:17" x14ac:dyDescent="0.35">
      <c r="B7" t="s">
        <v>3</v>
      </c>
      <c r="C7" s="1" t="str">
        <f>IF(ISNUMBER(Hauptmenü!S17), Hauptmenü!S17, "")</f>
        <v/>
      </c>
      <c r="D7" s="1" t="str">
        <f>IF(NOT(ISNUMBER(C7)),IF(ISNUMBER(C6),C6/20,""),C7)</f>
        <v/>
      </c>
      <c r="I7" t="s">
        <v>3</v>
      </c>
      <c r="J7" s="2" t="str">
        <f>IF(ISNUMBER(J6), J6/20, "")</f>
        <v/>
      </c>
      <c r="L7" t="s">
        <v>3</v>
      </c>
      <c r="M7" s="1" t="str">
        <f>IF(ISNUMBER(Hauptmenü!AA18), Hauptmenü!AA18, "")</f>
        <v/>
      </c>
      <c r="N7" t="s">
        <v>3</v>
      </c>
      <c r="O7" s="3" t="str">
        <f>IF(ISNUMBER(M7), M7, IF(ISNUMBER(O6), O6*0.4, ""))</f>
        <v/>
      </c>
      <c r="P7">
        <v>0.18</v>
      </c>
      <c r="Q7" s="2" t="str">
        <f>IF($Q$14, O7*$M$10*P7/$M$12/1000, "")</f>
        <v/>
      </c>
    </row>
    <row r="8" spans="1:17" x14ac:dyDescent="0.35">
      <c r="B8" t="s">
        <v>4</v>
      </c>
      <c r="C8" s="1" t="str">
        <f>IF(ISNUMBER(Hauptmenü!S18), Hauptmenü!S18, "")</f>
        <v/>
      </c>
      <c r="D8" s="1" t="str">
        <f>IF(ISNUMBER(C8), C8, "")</f>
        <v/>
      </c>
      <c r="F8" t="s">
        <v>26</v>
      </c>
      <c r="G8" s="2" t="str">
        <f>IF(G4&gt;G6, IF(AND(ISNUMBER($G$6), ISNUMBER(G4)), (G4-$G$6)/1000/(0.53+0.3*0.83*(1-EXP(-G11*Hauptmenü!R23))/Hauptmenü!R23/'Filtersand,-kies'!G11+0.5*0.83*(1-EXP(-G11*Hauptmenü!R23))/Hauptmenü!R23/'Filtersand,-kies'!G11*Hauptmenü!R25), ""), "")</f>
        <v/>
      </c>
      <c r="I8" t="s">
        <v>4</v>
      </c>
      <c r="J8" s="2" t="str">
        <f>IF(ISNUMBER(J6), J6*0.83*(1-EXP(-Hauptmenü!R23*'Filtersand,-kies'!G11))/Hauptmenü!R23/'Filtersand,-kies'!G11, "")</f>
        <v/>
      </c>
      <c r="L8" t="s">
        <v>4</v>
      </c>
      <c r="M8" s="1" t="str">
        <f>IF(ISNUMBER(Hauptmenü!AA19), Hauptmenü!AA19, "")</f>
        <v/>
      </c>
      <c r="N8" t="s">
        <v>4</v>
      </c>
      <c r="O8" s="3" t="str">
        <f>IF(ISNUMBER(M8), M8, "")</f>
        <v/>
      </c>
      <c r="P8">
        <v>0.25</v>
      </c>
      <c r="Q8" s="2" t="str">
        <f>IF($Q$14, O8*$M$10/$M$11*P8/$M$12/1000/Hauptmenü!$R$23*(1-EXP(-Hauptmenü!R23*Hauptmenü!$S$21)), "")</f>
        <v/>
      </c>
    </row>
    <row r="9" spans="1:17" x14ac:dyDescent="0.35">
      <c r="B9" t="s">
        <v>5</v>
      </c>
      <c r="C9" s="1" t="str">
        <f>IF(ISNUMBER(Hauptmenü!S19), Hauptmenü!S19, "")</f>
        <v/>
      </c>
      <c r="D9" s="2" t="str">
        <f>IF(ISNUMBER(C9), C9, IF(ISNUMBER(D8), IF(ISNUMBER(Hauptmenü!R25), D8*Hauptmenü!R25, ""), ""))</f>
        <v/>
      </c>
      <c r="F9" t="s">
        <v>27</v>
      </c>
      <c r="G9" s="2" t="str">
        <f>IF(G5&gt;G6, IF(AND(ISNUMBER($G$6), ISNUMBER(G5)), (G5-$G$6)/1000/(0.53+0.3*0.83*(1-EXP(-G11*Hauptmenü!R23))/Hauptmenü!R23/'Filtersand,-kies'!G11+0.5*0.83*(1-EXP(-G11*Hauptmenü!R23))/Hauptmenü!R23/'Filtersand,-kies'!G11*Hauptmenü!R25), ""), "")</f>
        <v/>
      </c>
      <c r="I9" t="s">
        <v>5</v>
      </c>
      <c r="J9" s="2" t="str">
        <f>IF(AND(ISNUMBER(J8), ISNUMBER(Hauptmenü!R25)), J8*Hauptmenü!R25, "")</f>
        <v/>
      </c>
      <c r="P9" t="s">
        <v>5</v>
      </c>
      <c r="Q9" s="2" t="str">
        <f>IF(Q14, Q8*Hauptmenü!R25, "")</f>
        <v/>
      </c>
    </row>
    <row r="10" spans="1:17" x14ac:dyDescent="0.35">
      <c r="L10" t="s">
        <v>9</v>
      </c>
      <c r="M10" s="1" t="str">
        <f>IF(AND(ISNUMBER(Hauptmenü!AA20), ISNUMBER(Hauptmenü!AA21)), Hauptmenü!AA21*Hauptmenü!AA20, "")</f>
        <v/>
      </c>
      <c r="N10" t="s">
        <v>31</v>
      </c>
    </row>
    <row r="11" spans="1:17" x14ac:dyDescent="0.35">
      <c r="B11" t="s">
        <v>197</v>
      </c>
      <c r="C11" s="1" t="str">
        <f>IF(Auswahl!G19=1, "", IF(ISNUMBER(Hauptmenü!S21), Hauptmenü!S21, ""))</f>
        <v/>
      </c>
      <c r="D11" t="s">
        <v>193</v>
      </c>
      <c r="F11" t="s">
        <v>197</v>
      </c>
      <c r="G11" s="1" t="str">
        <f>IF(ISNUMBER(Hauptmenü!W21), Hauptmenü!W21, "")</f>
        <v/>
      </c>
      <c r="H11" t="s">
        <v>193</v>
      </c>
      <c r="L11" t="s">
        <v>197</v>
      </c>
      <c r="M11" s="1" t="str">
        <f>IF(ISNUMBER(Hauptmenü!AA21), Hauptmenü!AA21, "")</f>
        <v/>
      </c>
      <c r="N11" t="s">
        <v>193</v>
      </c>
    </row>
    <row r="12" spans="1:17" x14ac:dyDescent="0.35">
      <c r="L12" t="s">
        <v>22</v>
      </c>
      <c r="M12" s="1" t="str">
        <f>IF(AND(ISNUMBER(Hauptmenü!AA23), ISNUMBER(Hauptmenü!AA22)), Hauptmenü!AA22*Hauptmenü!AA23, "")</f>
        <v/>
      </c>
      <c r="N12" t="s">
        <v>32</v>
      </c>
    </row>
    <row r="13" spans="1:17" ht="15" thickBot="1" x14ac:dyDescent="0.4"/>
    <row r="14" spans="1:17" ht="15" thickBot="1" x14ac:dyDescent="0.4">
      <c r="A14" s="4" t="s">
        <v>17</v>
      </c>
      <c r="B14" s="48"/>
      <c r="C14" s="48"/>
      <c r="D14" s="48" t="b">
        <f>AND(ISNUMBER(C6), ISNUMBER(C8))</f>
        <v>0</v>
      </c>
      <c r="E14" s="48"/>
      <c r="F14" s="48"/>
      <c r="G14" s="48"/>
      <c r="H14" s="48"/>
      <c r="I14" s="48"/>
      <c r="J14" s="48" t="b">
        <f>ISNUMBER(J6)</f>
        <v>0</v>
      </c>
      <c r="K14" s="48"/>
      <c r="L14" s="48"/>
      <c r="M14" s="48"/>
      <c r="N14" s="48"/>
      <c r="O14" s="48"/>
      <c r="P14" s="48"/>
      <c r="Q14" s="49" t="b">
        <f>AND(ISNUMBER(M10), ISNUMBER(M11), ISNUMBER(M12), ISNUMBER(M6), ISNUMBER(M8))</f>
        <v>0</v>
      </c>
    </row>
    <row r="16" spans="1:17" x14ac:dyDescent="0.35">
      <c r="A16" t="s">
        <v>23</v>
      </c>
      <c r="C16" t="s">
        <v>0</v>
      </c>
      <c r="D16" s="2" t="str">
        <f>IF($D$14, D4, IF($J$14, J4, IF($Q$14, Q4, "")))</f>
        <v/>
      </c>
    </row>
    <row r="17" spans="3:4" x14ac:dyDescent="0.35">
      <c r="C17" t="s">
        <v>1</v>
      </c>
      <c r="D17" s="2" t="str">
        <f>IF($D$14, D5, IF($J$14, J5, IF($Q$14, Q5, "")))</f>
        <v/>
      </c>
    </row>
    <row r="18" spans="3:4" x14ac:dyDescent="0.35">
      <c r="C18" t="s">
        <v>2</v>
      </c>
      <c r="D18" s="2" t="str">
        <f>IF($D$14, D6, IF($J$14, J6, IF($Q$14, Q6, "")))</f>
        <v/>
      </c>
    </row>
    <row r="19" spans="3:4" x14ac:dyDescent="0.35">
      <c r="C19" t="s">
        <v>3</v>
      </c>
      <c r="D19" s="2" t="str">
        <f>IF($D$14, D7, IF($J$14, J7, IF($Q$14, Q7, "")))</f>
        <v/>
      </c>
    </row>
    <row r="20" spans="3:4" x14ac:dyDescent="0.35">
      <c r="C20" t="s">
        <v>38</v>
      </c>
      <c r="D20" s="2" t="str">
        <f>D19</f>
        <v/>
      </c>
    </row>
    <row r="21" spans="3:4" x14ac:dyDescent="0.35">
      <c r="C21" t="s">
        <v>4</v>
      </c>
      <c r="D21" s="2" t="str">
        <f>IF($D$14, D8, IF($J$14, J8, IF($Q$14, Q8, "")))</f>
        <v/>
      </c>
    </row>
    <row r="22" spans="3:4" x14ac:dyDescent="0.35">
      <c r="C22" t="s">
        <v>5</v>
      </c>
      <c r="D22" s="2" t="str">
        <f>IF($D$14, D9, IF($J$14, J9, IF($Q$14, Q9, "")))</f>
        <v/>
      </c>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Q22"/>
  <sheetViews>
    <sheetView workbookViewId="0">
      <selection activeCell="G9" sqref="G9"/>
    </sheetView>
  </sheetViews>
  <sheetFormatPr baseColWidth="10" defaultRowHeight="14.5" x14ac:dyDescent="0.35"/>
  <cols>
    <col min="12" max="12" width="17.1796875" customWidth="1"/>
  </cols>
  <sheetData>
    <row r="1" spans="1:17" x14ac:dyDescent="0.35">
      <c r="B1" t="s">
        <v>18</v>
      </c>
      <c r="F1" t="s">
        <v>6</v>
      </c>
      <c r="L1" t="s">
        <v>9</v>
      </c>
    </row>
    <row r="2" spans="1:17" x14ac:dyDescent="0.35">
      <c r="C2" t="s">
        <v>15</v>
      </c>
      <c r="D2" t="s">
        <v>16</v>
      </c>
      <c r="F2" t="s">
        <v>15</v>
      </c>
      <c r="J2" t="s">
        <v>16</v>
      </c>
      <c r="M2" t="s">
        <v>15</v>
      </c>
      <c r="O2" t="s">
        <v>19</v>
      </c>
      <c r="P2" t="s">
        <v>21</v>
      </c>
      <c r="Q2" t="s">
        <v>16</v>
      </c>
    </row>
    <row r="3" spans="1:17" x14ac:dyDescent="0.35">
      <c r="L3" t="s">
        <v>8</v>
      </c>
      <c r="M3" s="1" t="str">
        <f>IF(ISNUMBER(Hauptmenü!AA14), Hauptmenü!AA14, "")</f>
        <v/>
      </c>
    </row>
    <row r="4" spans="1:17" x14ac:dyDescent="0.35">
      <c r="B4" t="s">
        <v>0</v>
      </c>
      <c r="C4" s="1" t="str">
        <f>IF(ISNUMBER(Hauptmenü!S14), Hauptmenü!S14, "")</f>
        <v/>
      </c>
      <c r="D4" s="1" t="str">
        <f>IF(NOT(ISNUMBER(C4)),IF(ISNUMBER(C6),C6*0.45,""),C4)</f>
        <v/>
      </c>
      <c r="F4" t="s">
        <v>24</v>
      </c>
      <c r="G4" s="1" t="str">
        <f>IF(ISNUMBER(Hauptmenü!W14), Hauptmenü!W14, "")</f>
        <v/>
      </c>
      <c r="I4" t="s">
        <v>0</v>
      </c>
      <c r="J4" s="2" t="str">
        <f>IF(ISNUMBER(J6), J6*0.45, "")</f>
        <v/>
      </c>
      <c r="L4" t="s">
        <v>0</v>
      </c>
      <c r="M4" s="1" t="str">
        <f>IF(ISNUMBER(Hauptmenü!AA15), Hauptmenü!AA15, "")</f>
        <v/>
      </c>
      <c r="N4" t="s">
        <v>0</v>
      </c>
      <c r="O4" s="3" t="str">
        <f>IF(ISNUMBER(M4), M4, IF(ISNUMBER(M3), M3*0.0124, IF(ISNUMBER(O6), 0.6*O6, "")))</f>
        <v/>
      </c>
      <c r="P4">
        <v>0.65</v>
      </c>
      <c r="Q4" s="2" t="str">
        <f>IF($Q$14, O4*$M$10*P4/$M$12/1000, "")</f>
        <v/>
      </c>
    </row>
    <row r="5" spans="1:17" x14ac:dyDescent="0.35">
      <c r="B5" t="s">
        <v>1</v>
      </c>
      <c r="C5" s="1" t="str">
        <f>IF(ISNUMBER(Hauptmenü!S15), Hauptmenü!S15, "")</f>
        <v/>
      </c>
      <c r="D5" s="1" t="str">
        <f>IF(ISNUMBER(C5), C5, IF(ISNUMBER(D4), 1.7*D4, ""))</f>
        <v/>
      </c>
      <c r="F5" t="s">
        <v>25</v>
      </c>
      <c r="G5" s="1" t="str">
        <f>IF(ISNUMBER(Hauptmenü!W15), Hauptmenü!W15, "")</f>
        <v/>
      </c>
      <c r="I5" t="s">
        <v>1</v>
      </c>
      <c r="J5" s="2" t="str">
        <f>IF(ISNUMBER(J4), J4*1.7, "")</f>
        <v/>
      </c>
      <c r="L5" t="s">
        <v>1</v>
      </c>
      <c r="M5" s="1" t="str">
        <f>IF(ISNUMBER(Hauptmenü!AA16), Hauptmenü!AA16, "")</f>
        <v/>
      </c>
      <c r="N5" t="s">
        <v>1</v>
      </c>
      <c r="O5" s="3" t="str">
        <f>IF(ISNUMBER(M5), M5, IF(ISNUMBER(O4), 1.7*O4, ""))</f>
        <v/>
      </c>
      <c r="P5">
        <v>0.65</v>
      </c>
      <c r="Q5" s="2" t="str">
        <f>IF($Q$14, O5*$M$10*P5/$M$12/1000, "")</f>
        <v/>
      </c>
    </row>
    <row r="6" spans="1:17" x14ac:dyDescent="0.35">
      <c r="B6" t="s">
        <v>2</v>
      </c>
      <c r="C6" s="1" t="str">
        <f>IF(ISNUMBER(Hauptmenü!S16), Hauptmenü!S16, "")</f>
        <v/>
      </c>
      <c r="D6" s="1" t="str">
        <f>IF(ISNUMBER(C6), C6, "")</f>
        <v/>
      </c>
      <c r="F6" t="s">
        <v>128</v>
      </c>
      <c r="G6" s="1" t="str">
        <f>IF(ISNUMBER(Hauptmenü!W16), Hauptmenü!W16, "")</f>
        <v/>
      </c>
      <c r="I6" t="s">
        <v>2</v>
      </c>
      <c r="J6" s="2" t="str">
        <f>IF(OR(ISNUMBER(G8), ISNUMBER(G9)), MAX(G8:G9), "")</f>
        <v/>
      </c>
      <c r="L6" t="s">
        <v>2</v>
      </c>
      <c r="M6" s="1" t="str">
        <f>IF(ISNUMBER(Hauptmenü!AA17), Hauptmenü!AA17, "")</f>
        <v/>
      </c>
      <c r="N6" t="s">
        <v>2</v>
      </c>
      <c r="O6" s="3" t="str">
        <f>IF(ISNUMBER(M6), M6, "")</f>
        <v/>
      </c>
      <c r="P6">
        <v>0.85</v>
      </c>
      <c r="Q6" s="2" t="str">
        <f>IF($Q$14, O6*$M$10*P6/$M$12/1000, "")</f>
        <v/>
      </c>
    </row>
    <row r="7" spans="1:17" x14ac:dyDescent="0.35">
      <c r="B7" t="s">
        <v>3</v>
      </c>
      <c r="C7" s="1" t="str">
        <f>IF(ISNUMBER(Hauptmenü!S17), Hauptmenü!S17, "")</f>
        <v/>
      </c>
      <c r="D7" s="1" t="str">
        <f>IF(NOT(ISNUMBER(C7)),IF(ISNUMBER(C6),C6*0.42,""),C7)</f>
        <v/>
      </c>
      <c r="I7" t="s">
        <v>3</v>
      </c>
      <c r="J7" s="2" t="str">
        <f>IF(ISNUMBER(J6), J6*0.42, "")</f>
        <v/>
      </c>
      <c r="L7" t="s">
        <v>3</v>
      </c>
      <c r="M7" s="1" t="str">
        <f>IF(ISNUMBER(Hauptmenü!AA18), Hauptmenü!AA18, "")</f>
        <v/>
      </c>
      <c r="N7" t="s">
        <v>3</v>
      </c>
      <c r="O7" s="3" t="str">
        <f>IF(ISNUMBER(M7), M7, IF(ISNUMBER(O6), O6*0.4, ""))</f>
        <v/>
      </c>
      <c r="P7">
        <v>0.9</v>
      </c>
      <c r="Q7" s="2" t="str">
        <f>IF($Q$14, O7*$M$10*P7/$M$12/1000, "")</f>
        <v/>
      </c>
    </row>
    <row r="8" spans="1:17" x14ac:dyDescent="0.35">
      <c r="B8" t="s">
        <v>4</v>
      </c>
      <c r="C8" s="1" t="str">
        <f>IF(ISNUMBER(Hauptmenü!S18), Hauptmenü!S18, "")</f>
        <v/>
      </c>
      <c r="D8" s="1" t="str">
        <f>IF(ISNUMBER(C8), C8, "")</f>
        <v/>
      </c>
      <c r="F8" t="s">
        <v>26</v>
      </c>
      <c r="G8" s="2" t="str">
        <f>IF(G4&gt;G6, IF(AND(ISNUMBER($G$6), ISNUMBER(G4)), (G4-$G$6)/1000/(0.53+0.3*0.83*(1-EXP(-G11*Hauptmenü!R23))/Hauptmenü!R23/'Filtersand,-kies'!G11+0.5*0.83*(1-EXP(-G11*Hauptmenü!R23))/Hauptmenü!R23/'Filtersand,-kies'!G11*Hauptmenü!R25), ""), "")</f>
        <v/>
      </c>
      <c r="I8" t="s">
        <v>4</v>
      </c>
      <c r="J8" s="2" t="str">
        <f>IF(ISNUMBER(J6), J6*0.83*(1-EXP(-Hauptmenü!R23*'Filtersand,-kies'!G11))/Hauptmenü!R23/'Filtersand,-kies'!G11, "")</f>
        <v/>
      </c>
      <c r="L8" t="s">
        <v>4</v>
      </c>
      <c r="M8" s="1" t="str">
        <f>IF(ISNUMBER(Hauptmenü!AA19), Hauptmenü!AA19, "")</f>
        <v/>
      </c>
      <c r="N8" t="s">
        <v>4</v>
      </c>
      <c r="O8" s="3" t="str">
        <f>IF(ISNUMBER(M8), M8, "")</f>
        <v/>
      </c>
      <c r="P8">
        <v>0.85</v>
      </c>
      <c r="Q8" s="2" t="str">
        <f>IF($Q$14, O8*$M$10/$M$11*P8/$M$12/1000/Hauptmenü!$R$23*(1-EXP(-Hauptmenü!R23*Hauptmenü!$S$21)), "")</f>
        <v/>
      </c>
    </row>
    <row r="9" spans="1:17" x14ac:dyDescent="0.35">
      <c r="B9" t="s">
        <v>5</v>
      </c>
      <c r="C9" s="1" t="str">
        <f>IF(ISNUMBER(Hauptmenü!S19), Hauptmenü!S19, "")</f>
        <v/>
      </c>
      <c r="D9" s="2" t="str">
        <f>IF(ISNUMBER(C9), C9, IF(ISNUMBER(D8), IF(ISNUMBER(Hauptmenü!R25), D8*Hauptmenü!R25, ""), ""))</f>
        <v/>
      </c>
      <c r="F9" t="s">
        <v>27</v>
      </c>
      <c r="G9" s="2" t="str">
        <f>IF(G5&gt;G6, IF(AND(ISNUMBER($G$6), ISNUMBER(G5)), (G5-$G$6)/1000/(0.53+0.3*0.83*(1-EXP(-G11*Hauptmenü!R23))/Hauptmenü!R23/'Filtersand,-kies'!G11+0.5*0.83*(1-EXP(-G11*Hauptmenü!R23))/Hauptmenü!R23/'Filtersand,-kies'!G11*Hauptmenü!R25), ""), "")</f>
        <v/>
      </c>
      <c r="I9" t="s">
        <v>5</v>
      </c>
      <c r="J9" s="2" t="str">
        <f>IF(AND(ISNUMBER(J8), ISNUMBER(Hauptmenü!R25)), J8*Hauptmenü!R25, "")</f>
        <v/>
      </c>
      <c r="P9" t="s">
        <v>5</v>
      </c>
      <c r="Q9" s="2" t="str">
        <f>IF(Q14, Q8*Hauptmenü!R25, "")</f>
        <v/>
      </c>
    </row>
    <row r="10" spans="1:17" x14ac:dyDescent="0.35">
      <c r="L10" t="s">
        <v>9</v>
      </c>
      <c r="M10" s="1" t="str">
        <f>IF(AND(ISNUMBER(Hauptmenü!AA20), ISNUMBER(Hauptmenü!AA21)), Hauptmenü!AA21*Hauptmenü!AA20, "")</f>
        <v/>
      </c>
      <c r="N10" t="s">
        <v>31</v>
      </c>
    </row>
    <row r="11" spans="1:17" x14ac:dyDescent="0.35">
      <c r="B11" t="s">
        <v>197</v>
      </c>
      <c r="C11" s="1" t="str">
        <f>IF(Auswahl!G19=1, "", IF(ISNUMBER(Hauptmenü!S21), Hauptmenü!S21, ""))</f>
        <v/>
      </c>
      <c r="D11" t="s">
        <v>193</v>
      </c>
      <c r="F11" t="s">
        <v>197</v>
      </c>
      <c r="G11" s="1" t="str">
        <f>IF(ISNUMBER(Hauptmenü!W21), Hauptmenü!W21, "")</f>
        <v/>
      </c>
      <c r="H11" t="s">
        <v>193</v>
      </c>
      <c r="L11" t="s">
        <v>197</v>
      </c>
      <c r="M11" s="1" t="str">
        <f>IF(ISNUMBER(Hauptmenü!AA21), Hauptmenü!AA21, "")</f>
        <v/>
      </c>
      <c r="N11" t="s">
        <v>193</v>
      </c>
    </row>
    <row r="12" spans="1:17" x14ac:dyDescent="0.35">
      <c r="L12" t="s">
        <v>22</v>
      </c>
      <c r="M12" s="1" t="str">
        <f>IF(AND(ISNUMBER(Hauptmenü!AA23), ISNUMBER(Hauptmenü!AA22)), Hauptmenü!AA22*Hauptmenü!AA23, "")</f>
        <v/>
      </c>
      <c r="N12" t="s">
        <v>32</v>
      </c>
    </row>
    <row r="13" spans="1:17" ht="15" thickBot="1" x14ac:dyDescent="0.4"/>
    <row r="14" spans="1:17" ht="15" thickBot="1" x14ac:dyDescent="0.4">
      <c r="A14" s="4" t="s">
        <v>17</v>
      </c>
      <c r="B14" s="48"/>
      <c r="C14" s="48"/>
      <c r="D14" s="48" t="b">
        <f>AND(ISNUMBER(C6), ISNUMBER(C8))</f>
        <v>0</v>
      </c>
      <c r="E14" s="48"/>
      <c r="F14" s="48"/>
      <c r="G14" s="48"/>
      <c r="H14" s="48"/>
      <c r="I14" s="48"/>
      <c r="J14" s="48" t="b">
        <f>ISNUMBER(J6)</f>
        <v>0</v>
      </c>
      <c r="K14" s="48"/>
      <c r="L14" s="48"/>
      <c r="M14" s="48"/>
      <c r="N14" s="48"/>
      <c r="O14" s="48"/>
      <c r="P14" s="48"/>
      <c r="Q14" s="49" t="b">
        <f>AND(ISNUMBER(M10), ISNUMBER(M11), ISNUMBER(M12), ISNUMBER(M6), ISNUMBER(M8))</f>
        <v>0</v>
      </c>
    </row>
    <row r="16" spans="1:17" x14ac:dyDescent="0.35">
      <c r="A16" t="s">
        <v>23</v>
      </c>
      <c r="C16" t="s">
        <v>0</v>
      </c>
      <c r="D16" s="2" t="str">
        <f>IF($D$14, D4, IF($J$14, J4, IF($Q$14, Q4, "")))</f>
        <v/>
      </c>
    </row>
    <row r="17" spans="3:4" x14ac:dyDescent="0.35">
      <c r="C17" t="s">
        <v>1</v>
      </c>
      <c r="D17" s="2" t="str">
        <f>IF($D$14, D5, IF($J$14, J5, IF($Q$14, Q5, "")))</f>
        <v/>
      </c>
    </row>
    <row r="18" spans="3:4" x14ac:dyDescent="0.35">
      <c r="C18" t="s">
        <v>2</v>
      </c>
      <c r="D18" s="2" t="str">
        <f>IF($D$14, D6, IF($J$14, J6, IF($Q$14, Q6, "")))</f>
        <v/>
      </c>
    </row>
    <row r="19" spans="3:4" x14ac:dyDescent="0.35">
      <c r="C19" t="s">
        <v>3</v>
      </c>
      <c r="D19" s="2" t="str">
        <f>IF($D$14, D7, IF($J$14, J7, IF($Q$14, Q7, "")))</f>
        <v/>
      </c>
    </row>
    <row r="20" spans="3:4" x14ac:dyDescent="0.35">
      <c r="C20" t="s">
        <v>38</v>
      </c>
      <c r="D20" s="2" t="str">
        <f>D19</f>
        <v/>
      </c>
    </row>
    <row r="21" spans="3:4" x14ac:dyDescent="0.35">
      <c r="C21" t="s">
        <v>4</v>
      </c>
      <c r="D21" s="2" t="str">
        <f>IF($D$14, D8, IF($J$14, J8, IF($Q$14, Q8, "")))</f>
        <v/>
      </c>
    </row>
    <row r="22" spans="3:4" x14ac:dyDescent="0.35">
      <c r="C22" t="s">
        <v>5</v>
      </c>
      <c r="D22" s="2" t="str">
        <f>IF($D$14, D9, IF($J$14, J9, IF($Q$14, Q9, "")))</f>
        <v/>
      </c>
    </row>
  </sheetData>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Q22"/>
  <sheetViews>
    <sheetView workbookViewId="0">
      <selection activeCell="F22" sqref="F22"/>
    </sheetView>
  </sheetViews>
  <sheetFormatPr baseColWidth="10" defaultRowHeight="14.5" x14ac:dyDescent="0.35"/>
  <cols>
    <col min="12" max="12" width="17.1796875" customWidth="1"/>
  </cols>
  <sheetData>
    <row r="1" spans="1:17" x14ac:dyDescent="0.35">
      <c r="B1" t="s">
        <v>18</v>
      </c>
      <c r="F1" t="s">
        <v>6</v>
      </c>
      <c r="L1" t="s">
        <v>9</v>
      </c>
    </row>
    <row r="2" spans="1:17" x14ac:dyDescent="0.35">
      <c r="C2" t="s">
        <v>15</v>
      </c>
      <c r="D2" t="s">
        <v>16</v>
      </c>
      <c r="F2" t="s">
        <v>15</v>
      </c>
      <c r="J2" t="s">
        <v>16</v>
      </c>
      <c r="M2" t="s">
        <v>15</v>
      </c>
      <c r="O2" t="s">
        <v>19</v>
      </c>
      <c r="P2" t="s">
        <v>21</v>
      </c>
      <c r="Q2" t="s">
        <v>16</v>
      </c>
    </row>
    <row r="3" spans="1:17" x14ac:dyDescent="0.35">
      <c r="L3" t="s">
        <v>8</v>
      </c>
      <c r="M3" s="1" t="str">
        <f>IF(ISNUMBER(Hauptmenü!AA14), Hauptmenü!AA14, "")</f>
        <v/>
      </c>
    </row>
    <row r="4" spans="1:17" x14ac:dyDescent="0.35">
      <c r="B4" t="s">
        <v>0</v>
      </c>
      <c r="C4" s="1" t="str">
        <f>IF(ISNUMBER(Hauptmenü!S14), Hauptmenü!S14, "")</f>
        <v/>
      </c>
      <c r="D4" s="1" t="str">
        <f>IF(NOT(ISNUMBER(C4)),IF(ISNUMBER(C6),C6/100,""),C4)</f>
        <v/>
      </c>
      <c r="F4" t="s">
        <v>24</v>
      </c>
      <c r="G4" s="1" t="str">
        <f>IF(ISNUMBER(Hauptmenü!W14), Hauptmenü!W14, "")</f>
        <v/>
      </c>
      <c r="I4" t="s">
        <v>0</v>
      </c>
      <c r="J4" s="2" t="str">
        <f>IF(ISNUMBER(J6), J6/100, "")</f>
        <v/>
      </c>
      <c r="L4" t="s">
        <v>0</v>
      </c>
      <c r="M4" s="1" t="str">
        <f>IF(ISNUMBER(Hauptmenü!AA15), Hauptmenü!AA15, "")</f>
        <v/>
      </c>
      <c r="N4" t="s">
        <v>0</v>
      </c>
      <c r="O4" s="3" t="str">
        <f>IF(ISNUMBER(M4), M4, IF(ISNUMBER(M3), M3*0.0124, IF(ISNUMBER(O6), 0.6*O6, "")))</f>
        <v/>
      </c>
      <c r="P4">
        <v>0.02</v>
      </c>
      <c r="Q4" s="2" t="str">
        <f>IF($Q$14, O4*$M$10*P4/$M$12/1000, "")</f>
        <v/>
      </c>
    </row>
    <row r="5" spans="1:17" x14ac:dyDescent="0.35">
      <c r="B5" t="s">
        <v>1</v>
      </c>
      <c r="C5" s="1" t="str">
        <f>IF(ISNUMBER(Hauptmenü!S15), Hauptmenü!S15, "")</f>
        <v/>
      </c>
      <c r="D5" s="1" t="str">
        <f>IF(ISNUMBER(C5), C5, IF(ISNUMBER(D4), 1.7*D4, ""))</f>
        <v/>
      </c>
      <c r="F5" t="s">
        <v>25</v>
      </c>
      <c r="G5" s="1" t="str">
        <f>IF(ISNUMBER(Hauptmenü!W15), Hauptmenü!W15, "")</f>
        <v/>
      </c>
      <c r="I5" t="s">
        <v>1</v>
      </c>
      <c r="J5" s="2" t="str">
        <f>IF(ISNUMBER(J4), J4*1.7, "")</f>
        <v/>
      </c>
      <c r="L5" t="s">
        <v>1</v>
      </c>
      <c r="M5" s="1" t="str">
        <f>IF(ISNUMBER(Hauptmenü!AA16), Hauptmenü!AA16, "")</f>
        <v/>
      </c>
      <c r="N5" t="s">
        <v>1</v>
      </c>
      <c r="O5" s="3" t="str">
        <f>IF(ISNUMBER(M5), M5, IF(ISNUMBER(O4), 1.7*O4, ""))</f>
        <v/>
      </c>
      <c r="P5">
        <v>0.02</v>
      </c>
      <c r="Q5" s="2" t="str">
        <f>IF($Q$14, O5*$M$10*P5/$M$12/1000, "")</f>
        <v/>
      </c>
    </row>
    <row r="6" spans="1:17" x14ac:dyDescent="0.35">
      <c r="B6" t="s">
        <v>2</v>
      </c>
      <c r="C6" s="1" t="str">
        <f>IF(ISNUMBER(Hauptmenü!S16), Hauptmenü!S16, "")</f>
        <v/>
      </c>
      <c r="D6" s="1" t="str">
        <f>IF(ISNUMBER(C6), C6, "")</f>
        <v/>
      </c>
      <c r="F6" t="s">
        <v>128</v>
      </c>
      <c r="G6" s="1" t="str">
        <f>IF(ISNUMBER(Hauptmenü!W16), Hauptmenü!W16, "")</f>
        <v/>
      </c>
      <c r="I6" t="s">
        <v>2</v>
      </c>
      <c r="J6" s="2" t="str">
        <f>IF(OR(ISNUMBER(G8), ISNUMBER(G9)), MAX(G8:G9), "")</f>
        <v/>
      </c>
      <c r="L6" t="s">
        <v>2</v>
      </c>
      <c r="M6" s="1" t="str">
        <f>IF(ISNUMBER(Hauptmenü!AA17), Hauptmenü!AA17, "")</f>
        <v/>
      </c>
      <c r="N6" t="s">
        <v>2</v>
      </c>
      <c r="O6" s="3" t="str">
        <f>IF(ISNUMBER(M6), M6, "")</f>
        <v/>
      </c>
      <c r="P6">
        <v>0.25</v>
      </c>
      <c r="Q6" s="2" t="str">
        <f>IF($Q$14, O6*$M$10*P6/$M$12/1000, "")</f>
        <v/>
      </c>
    </row>
    <row r="7" spans="1:17" x14ac:dyDescent="0.35">
      <c r="B7" t="s">
        <v>3</v>
      </c>
      <c r="C7" s="1" t="str">
        <f>IF(ISNUMBER(Hauptmenü!S17), Hauptmenü!S17, "")</f>
        <v/>
      </c>
      <c r="D7" s="1" t="str">
        <f>IF(NOT(ISNUMBER(C7)),IF(ISNUMBER(C6),C6/20,""),C7)</f>
        <v/>
      </c>
      <c r="I7" t="s">
        <v>3</v>
      </c>
      <c r="J7" s="2" t="str">
        <f>IF(ISNUMBER(J6), J6/20, "")</f>
        <v/>
      </c>
      <c r="L7" t="s">
        <v>3</v>
      </c>
      <c r="M7" s="1" t="str">
        <f>IF(ISNUMBER(Hauptmenü!AA18), Hauptmenü!AA18, "")</f>
        <v/>
      </c>
      <c r="N7" t="s">
        <v>3</v>
      </c>
      <c r="O7" s="3" t="str">
        <f>IF(ISNUMBER(M7), M7, IF(ISNUMBER(O6), O6*0.4, ""))</f>
        <v/>
      </c>
      <c r="P7">
        <v>0.18</v>
      </c>
      <c r="Q7" s="2" t="str">
        <f>IF($Q$14, O7*$M$10*P7/$M$12/1000, "")</f>
        <v/>
      </c>
    </row>
    <row r="8" spans="1:17" x14ac:dyDescent="0.35">
      <c r="B8" t="s">
        <v>4</v>
      </c>
      <c r="C8" s="1" t="str">
        <f>IF(ISNUMBER(Hauptmenü!S18), Hauptmenü!S18, "")</f>
        <v/>
      </c>
      <c r="D8" s="1" t="str">
        <f>IF(ISNUMBER(C8), C8, "")</f>
        <v/>
      </c>
      <c r="F8" t="s">
        <v>26</v>
      </c>
      <c r="G8" s="2" t="str">
        <f>IF(G4&gt;G6, IF(AND(ISNUMBER($G$6), ISNUMBER(G4)), (G4-$G$6)/1000/(0.53+0.3*0.83*(1-EXP(-G11*Hauptmenü!R23))/Hauptmenü!R23/'Filtersand,-kies'!G11+0.5*0.83*(1-EXP(-G11*Hauptmenü!R23))/Hauptmenü!R23/'Filtersand,-kies'!G11*Hauptmenü!R25), ""), "")</f>
        <v/>
      </c>
      <c r="I8" t="s">
        <v>4</v>
      </c>
      <c r="J8" s="2" t="str">
        <f>IF(ISNUMBER(J6), J6*0.83*(1-EXP(-Hauptmenü!R23*'Filtersand,-kies'!G11))/Hauptmenü!R23/'Filtersand,-kies'!G11, "")</f>
        <v/>
      </c>
      <c r="L8" t="s">
        <v>4</v>
      </c>
      <c r="M8" s="1" t="str">
        <f>IF(ISNUMBER(Hauptmenü!AA19), Hauptmenü!AA19, "")</f>
        <v/>
      </c>
      <c r="N8" t="s">
        <v>4</v>
      </c>
      <c r="O8" s="3" t="str">
        <f>IF(ISNUMBER(M8), M8, "")</f>
        <v/>
      </c>
      <c r="P8">
        <v>0.25</v>
      </c>
      <c r="Q8" s="2" t="str">
        <f>IF($Q$14, O8*$M$10/$M$11*P8/$M$12/1000/Hauptmenü!$R$23*(1-EXP(-Hauptmenü!R23*Hauptmenü!$S$21)), "")</f>
        <v/>
      </c>
    </row>
    <row r="9" spans="1:17" x14ac:dyDescent="0.35">
      <c r="B9" t="s">
        <v>5</v>
      </c>
      <c r="C9" s="1" t="str">
        <f>IF(ISNUMBER(Hauptmenü!S19), Hauptmenü!S19, "")</f>
        <v/>
      </c>
      <c r="D9" s="2" t="str">
        <f>IF(ISNUMBER(C9), C9, IF(ISNUMBER(D8), IF(ISNUMBER(Hauptmenü!R25), D8*Hauptmenü!R25, ""), ""))</f>
        <v/>
      </c>
      <c r="F9" t="s">
        <v>27</v>
      </c>
      <c r="G9" s="2" t="str">
        <f>IF(G5&gt;G6, IF(AND(ISNUMBER($G$6), ISNUMBER(G5)), (G5-$G$6)/1000/(0.53+0.3*0.83*(1-EXP(-G11*Hauptmenü!R23))/Hauptmenü!R23/'Filtersand,-kies'!G11+0.5*0.83*(1-EXP(-G11*Hauptmenü!R23))/Hauptmenü!R23/'Filtersand,-kies'!G11*Hauptmenü!R25), ""), "")</f>
        <v/>
      </c>
      <c r="I9" t="s">
        <v>5</v>
      </c>
      <c r="J9" s="2" t="str">
        <f>IF(AND(ISNUMBER(J8), ISNUMBER(Hauptmenü!R25)), J8*Hauptmenü!R25, "")</f>
        <v/>
      </c>
      <c r="P9" t="s">
        <v>5</v>
      </c>
      <c r="Q9" s="2" t="str">
        <f>IF(Q14, Q8*Hauptmenü!R25, "")</f>
        <v/>
      </c>
    </row>
    <row r="10" spans="1:17" x14ac:dyDescent="0.35">
      <c r="L10" t="s">
        <v>9</v>
      </c>
      <c r="M10" s="1" t="str">
        <f>IF(AND(ISNUMBER(Hauptmenü!AA20), ISNUMBER(Hauptmenü!AA21)), Hauptmenü!AA21*Hauptmenü!AA20, "")</f>
        <v/>
      </c>
      <c r="N10" t="s">
        <v>31</v>
      </c>
    </row>
    <row r="11" spans="1:17" x14ac:dyDescent="0.35">
      <c r="B11" t="s">
        <v>197</v>
      </c>
      <c r="C11" s="1" t="str">
        <f>IF(Auswahl!G19=1, "", IF(ISNUMBER(Hauptmenü!S21), Hauptmenü!S21, ""))</f>
        <v/>
      </c>
      <c r="D11" t="s">
        <v>193</v>
      </c>
      <c r="F11" t="s">
        <v>197</v>
      </c>
      <c r="G11" s="1" t="str">
        <f>IF(ISNUMBER(Hauptmenü!W21), Hauptmenü!W21, "")</f>
        <v/>
      </c>
      <c r="H11" t="s">
        <v>193</v>
      </c>
      <c r="L11" t="s">
        <v>197</v>
      </c>
      <c r="M11" s="1" t="str">
        <f>IF(ISNUMBER(Hauptmenü!AA21), Hauptmenü!AA21, "")</f>
        <v/>
      </c>
      <c r="N11" t="s">
        <v>193</v>
      </c>
    </row>
    <row r="12" spans="1:17" x14ac:dyDescent="0.35">
      <c r="L12" t="s">
        <v>22</v>
      </c>
      <c r="M12" s="1" t="str">
        <f>IF(AND(ISNUMBER(Hauptmenü!AA23), ISNUMBER(Hauptmenü!AA22)), Hauptmenü!AA22*Hauptmenü!AA23, "")</f>
        <v/>
      </c>
      <c r="N12" t="s">
        <v>32</v>
      </c>
    </row>
    <row r="13" spans="1:17" ht="15" thickBot="1" x14ac:dyDescent="0.4"/>
    <row r="14" spans="1:17" ht="15" thickBot="1" x14ac:dyDescent="0.4">
      <c r="A14" s="4" t="s">
        <v>17</v>
      </c>
      <c r="B14" s="48"/>
      <c r="C14" s="48"/>
      <c r="D14" s="48" t="b">
        <f>AND(ISNUMBER(C6), ISNUMBER(C8))</f>
        <v>0</v>
      </c>
      <c r="E14" s="48"/>
      <c r="F14" s="48"/>
      <c r="G14" s="48"/>
      <c r="H14" s="48"/>
      <c r="I14" s="48"/>
      <c r="J14" s="48" t="b">
        <f>ISNUMBER(J6)</f>
        <v>0</v>
      </c>
      <c r="K14" s="48"/>
      <c r="L14" s="48"/>
      <c r="M14" s="48"/>
      <c r="N14" s="48"/>
      <c r="O14" s="48"/>
      <c r="P14" s="48"/>
      <c r="Q14" s="49" t="b">
        <f>AND(ISNUMBER(M10), ISNUMBER(M11), ISNUMBER(M12), ISNUMBER(M6), ISNUMBER(M8))</f>
        <v>0</v>
      </c>
    </row>
    <row r="16" spans="1:17" x14ac:dyDescent="0.35">
      <c r="A16" t="s">
        <v>23</v>
      </c>
      <c r="C16" t="s">
        <v>0</v>
      </c>
      <c r="D16" s="2" t="str">
        <f>IF($D$14, D4, IF($J$14, J4, IF($Q$14, Q4, "")))</f>
        <v/>
      </c>
    </row>
    <row r="17" spans="3:4" x14ac:dyDescent="0.35">
      <c r="C17" t="s">
        <v>1</v>
      </c>
      <c r="D17" s="2" t="str">
        <f>IF($D$14, D5, IF($J$14, J5, IF($Q$14, Q5, "")))</f>
        <v/>
      </c>
    </row>
    <row r="18" spans="3:4" x14ac:dyDescent="0.35">
      <c r="C18" t="s">
        <v>2</v>
      </c>
      <c r="D18" s="2" t="str">
        <f>IF($D$14, D6, IF($J$14, J6, IF($Q$14, Q6, "")))</f>
        <v/>
      </c>
    </row>
    <row r="19" spans="3:4" x14ac:dyDescent="0.35">
      <c r="C19" t="s">
        <v>3</v>
      </c>
      <c r="D19" s="2" t="str">
        <f>IF($D$14, D7, IF($J$14, J7, IF($Q$14, Q7, "")))</f>
        <v/>
      </c>
    </row>
    <row r="20" spans="3:4" x14ac:dyDescent="0.35">
      <c r="C20" t="s">
        <v>38</v>
      </c>
      <c r="D20" s="2" t="str">
        <f>D19</f>
        <v/>
      </c>
    </row>
    <row r="21" spans="3:4" x14ac:dyDescent="0.35">
      <c r="C21" t="s">
        <v>4</v>
      </c>
      <c r="D21" s="2" t="str">
        <f>IF($D$14, D8, IF($J$14, J8, IF($Q$14, Q8, "")))</f>
        <v/>
      </c>
    </row>
    <row r="22" spans="3:4" x14ac:dyDescent="0.35">
      <c r="C22" t="s">
        <v>5</v>
      </c>
      <c r="D22" s="2" t="str">
        <f>IF($D$14, D9, IF($J$14, J9, IF($Q$14, Q9, "")))</f>
        <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zoomScaleNormal="100" workbookViewId="0">
      <selection activeCell="A15" sqref="A15"/>
    </sheetView>
  </sheetViews>
  <sheetFormatPr baseColWidth="10" defaultRowHeight="14.5" x14ac:dyDescent="0.35"/>
  <cols>
    <col min="1" max="1" width="23" customWidth="1"/>
    <col min="4" max="4" width="25.7265625" customWidth="1"/>
    <col min="7" max="7" width="19.81640625" customWidth="1"/>
    <col min="11" max="11" width="28.7265625" customWidth="1"/>
  </cols>
  <sheetData>
    <row r="1" spans="1:7" x14ac:dyDescent="0.35">
      <c r="A1" s="34" t="s">
        <v>44</v>
      </c>
    </row>
    <row r="2" spans="1:7" ht="15" thickBot="1" x14ac:dyDescent="0.4"/>
    <row r="3" spans="1:7" x14ac:dyDescent="0.35">
      <c r="A3" t="s">
        <v>48</v>
      </c>
      <c r="G3" s="45" t="s">
        <v>85</v>
      </c>
    </row>
    <row r="4" spans="1:7" ht="15" thickBot="1" x14ac:dyDescent="0.4">
      <c r="A4" t="s">
        <v>49</v>
      </c>
      <c r="G4" s="55">
        <v>3</v>
      </c>
    </row>
    <row r="5" spans="1:7" x14ac:dyDescent="0.35">
      <c r="A5" t="s">
        <v>191</v>
      </c>
    </row>
    <row r="8" spans="1:7" x14ac:dyDescent="0.35">
      <c r="A8" s="34" t="s">
        <v>45</v>
      </c>
    </row>
    <row r="9" spans="1:7" ht="15" thickBot="1" x14ac:dyDescent="0.4"/>
    <row r="10" spans="1:7" x14ac:dyDescent="0.35">
      <c r="A10" t="s">
        <v>219</v>
      </c>
      <c r="G10" s="45" t="s">
        <v>85</v>
      </c>
    </row>
    <row r="11" spans="1:7" ht="15" thickBot="1" x14ac:dyDescent="0.4">
      <c r="A11" t="s">
        <v>53</v>
      </c>
      <c r="G11" s="55">
        <v>1</v>
      </c>
    </row>
    <row r="12" spans="1:7" x14ac:dyDescent="0.35">
      <c r="A12" t="s">
        <v>52</v>
      </c>
    </row>
    <row r="13" spans="1:7" x14ac:dyDescent="0.35">
      <c r="A13" t="s">
        <v>50</v>
      </c>
    </row>
    <row r="16" spans="1:7" x14ac:dyDescent="0.35">
      <c r="A16" s="34" t="s">
        <v>136</v>
      </c>
    </row>
    <row r="17" spans="1:14" ht="15" thickBot="1" x14ac:dyDescent="0.4"/>
    <row r="18" spans="1:14" x14ac:dyDescent="0.35">
      <c r="A18" t="s">
        <v>139</v>
      </c>
      <c r="G18" s="45" t="s">
        <v>85</v>
      </c>
    </row>
    <row r="19" spans="1:14" ht="15" thickBot="1" x14ac:dyDescent="0.4">
      <c r="A19" t="s">
        <v>190</v>
      </c>
      <c r="G19" s="55">
        <v>1</v>
      </c>
    </row>
    <row r="20" spans="1:14" x14ac:dyDescent="0.35">
      <c r="A20" t="s">
        <v>132</v>
      </c>
    </row>
    <row r="21" spans="1:14" x14ac:dyDescent="0.35">
      <c r="A21" t="s">
        <v>133</v>
      </c>
    </row>
    <row r="24" spans="1:14" x14ac:dyDescent="0.35">
      <c r="A24" s="34" t="s">
        <v>137</v>
      </c>
    </row>
    <row r="26" spans="1:14" x14ac:dyDescent="0.35">
      <c r="A26" s="8" t="s">
        <v>155</v>
      </c>
      <c r="B26" s="8"/>
      <c r="E26" t="s">
        <v>156</v>
      </c>
      <c r="H26" s="8" t="s">
        <v>135</v>
      </c>
      <c r="I26" s="8"/>
      <c r="K26" s="8" t="s">
        <v>138</v>
      </c>
      <c r="L26" s="8"/>
      <c r="N26" t="s">
        <v>141</v>
      </c>
    </row>
    <row r="27" spans="1:14" x14ac:dyDescent="0.35">
      <c r="A27" s="8" t="s">
        <v>0</v>
      </c>
      <c r="B27" s="8" t="s">
        <v>145</v>
      </c>
      <c r="E27" s="8" t="s">
        <v>0</v>
      </c>
      <c r="F27" s="8" t="s">
        <v>145</v>
      </c>
      <c r="H27" s="8" t="s">
        <v>220</v>
      </c>
      <c r="I27" s="8" t="s">
        <v>12</v>
      </c>
      <c r="K27" s="8" t="s">
        <v>170</v>
      </c>
      <c r="L27" s="8" t="s">
        <v>13</v>
      </c>
      <c r="N27">
        <f>IF(AND(OR($G$19=1, $G$19=2, $G$19=4), NOT(Hauptmenü!H11="")), 1, 0)</f>
        <v>1</v>
      </c>
    </row>
    <row r="28" spans="1:14" x14ac:dyDescent="0.35">
      <c r="A28" s="8" t="s">
        <v>2</v>
      </c>
      <c r="B28" s="8" t="s">
        <v>145</v>
      </c>
      <c r="E28" s="8" t="s">
        <v>151</v>
      </c>
      <c r="F28" s="8" t="s">
        <v>145</v>
      </c>
      <c r="H28" s="8" t="s">
        <v>221</v>
      </c>
      <c r="I28" s="8" t="s">
        <v>12</v>
      </c>
      <c r="K28" s="8" t="s">
        <v>0</v>
      </c>
      <c r="L28" s="8" t="s">
        <v>20</v>
      </c>
      <c r="N28">
        <f>IF(AND(OR($G$19=1, $G$19=2, $G$19=4), NOT(Hauptmenü!H12="")), 1, 0)</f>
        <v>1</v>
      </c>
    </row>
    <row r="29" spans="1:14" x14ac:dyDescent="0.35">
      <c r="A29" s="8" t="s">
        <v>3</v>
      </c>
      <c r="B29" s="8" t="s">
        <v>145</v>
      </c>
      <c r="E29" s="8" t="s">
        <v>3</v>
      </c>
      <c r="F29" s="8" t="s">
        <v>145</v>
      </c>
      <c r="H29" s="46" t="s">
        <v>131</v>
      </c>
      <c r="I29" s="8" t="s">
        <v>12</v>
      </c>
      <c r="K29" s="8" t="s">
        <v>1</v>
      </c>
      <c r="L29" s="8" t="s">
        <v>20</v>
      </c>
      <c r="N29">
        <f>IF(AND(OR($G$19=1, $G$19=2, $G$19=4), NOT(Hauptmenü!H13="")), 1, 0)</f>
        <v>1</v>
      </c>
    </row>
    <row r="30" spans="1:14" x14ac:dyDescent="0.35">
      <c r="A30" s="8" t="s">
        <v>4</v>
      </c>
      <c r="B30" s="8" t="s">
        <v>145</v>
      </c>
      <c r="E30" s="8" t="s">
        <v>189</v>
      </c>
      <c r="F30" s="8" t="s">
        <v>145</v>
      </c>
      <c r="K30" s="8" t="s">
        <v>151</v>
      </c>
      <c r="L30" s="8" t="s">
        <v>20</v>
      </c>
      <c r="N30">
        <f>IF(AND(OR($G$19=1, $G$19=2, $G$19=4), NOT(Hauptmenü!H14="")), 1, 0)</f>
        <v>1</v>
      </c>
    </row>
    <row r="31" spans="1:14" x14ac:dyDescent="0.35">
      <c r="A31" s="8" t="s">
        <v>5</v>
      </c>
      <c r="B31" s="8" t="s">
        <v>145</v>
      </c>
      <c r="E31" s="8" t="s">
        <v>5</v>
      </c>
      <c r="F31" s="8" t="s">
        <v>145</v>
      </c>
      <c r="K31" s="8" t="s">
        <v>3</v>
      </c>
      <c r="L31" s="8" t="s">
        <v>20</v>
      </c>
      <c r="N31">
        <f>IF(AND(OR($G$19=1, $G$19=2, $G$19=4), NOT(Hauptmenü!H15="")), 1, 0)</f>
        <v>1</v>
      </c>
    </row>
    <row r="32" spans="1:14" x14ac:dyDescent="0.35">
      <c r="A32" s="8"/>
      <c r="B32" s="8"/>
      <c r="K32" s="8" t="s">
        <v>192</v>
      </c>
      <c r="L32" s="8" t="s">
        <v>20</v>
      </c>
      <c r="N32">
        <f>IF(AND(OR($G$19=1, $G$19=2, $G$19=4), NOT(Hauptmenü!H16="")), 1, 0)</f>
        <v>0</v>
      </c>
    </row>
    <row r="33" spans="1:14" x14ac:dyDescent="0.35">
      <c r="K33" s="8" t="s">
        <v>167</v>
      </c>
      <c r="L33" s="8" t="s">
        <v>196</v>
      </c>
      <c r="N33">
        <f>IF(AND(OR($G$19=1, $G$19=2, $G$19=4), NOT(Hauptmenü!H17="")), 1, 0)</f>
        <v>0</v>
      </c>
    </row>
    <row r="34" spans="1:14" x14ac:dyDescent="0.35">
      <c r="E34" s="46" t="s">
        <v>195</v>
      </c>
      <c r="F34" s="46" t="s">
        <v>194</v>
      </c>
      <c r="H34" s="46" t="s">
        <v>195</v>
      </c>
      <c r="I34" s="46" t="s">
        <v>194</v>
      </c>
      <c r="K34" s="46" t="s">
        <v>195</v>
      </c>
      <c r="L34" s="46" t="s">
        <v>194</v>
      </c>
      <c r="N34">
        <f>IF(AND(OR($G$19=1, $G$19=2, $G$19=4), NOT(Hauptmenü!H18="")), 1, 0)</f>
        <v>0</v>
      </c>
    </row>
    <row r="35" spans="1:14" x14ac:dyDescent="0.35">
      <c r="K35" s="8" t="s">
        <v>168</v>
      </c>
      <c r="L35" s="8" t="s">
        <v>14</v>
      </c>
      <c r="N35">
        <f>IF(AND(OR($G$19=1, $G$19=2, $G$19=4), NOT(Hauptmenü!H19="")), 1, 0)</f>
        <v>0</v>
      </c>
    </row>
    <row r="36" spans="1:14" x14ac:dyDescent="0.35">
      <c r="K36" s="8" t="s">
        <v>169</v>
      </c>
      <c r="L36" s="8" t="s">
        <v>30</v>
      </c>
      <c r="N36">
        <f>IF(AND(OR($G$19=1, $G$19=2, $G$19=4), NOT(Hauptmenü!H20="")), 1, 0)</f>
        <v>0</v>
      </c>
    </row>
    <row r="37" spans="1:14" x14ac:dyDescent="0.35">
      <c r="A37" s="34" t="s">
        <v>134</v>
      </c>
    </row>
    <row r="39" spans="1:14" x14ac:dyDescent="0.35">
      <c r="A39" t="s">
        <v>233</v>
      </c>
    </row>
    <row r="40" spans="1:14" x14ac:dyDescent="0.35">
      <c r="A40" t="s">
        <v>172</v>
      </c>
    </row>
    <row r="41" spans="1:14" x14ac:dyDescent="0.35">
      <c r="A41" t="s">
        <v>171</v>
      </c>
      <c r="B41" s="8"/>
    </row>
    <row r="42" spans="1:14" x14ac:dyDescent="0.35">
      <c r="A42" t="s">
        <v>173</v>
      </c>
    </row>
    <row r="43" spans="1:14" x14ac:dyDescent="0.35">
      <c r="A43" t="s">
        <v>174</v>
      </c>
    </row>
    <row r="46" spans="1:14" x14ac:dyDescent="0.35">
      <c r="A46" s="34" t="s">
        <v>229</v>
      </c>
    </row>
    <row r="47" spans="1:14" x14ac:dyDescent="0.35">
      <c r="A47" t="s">
        <v>230</v>
      </c>
    </row>
    <row r="48" spans="1:14" x14ac:dyDescent="0.35">
      <c r="A48" t="s">
        <v>231</v>
      </c>
    </row>
    <row r="49" spans="1:1" x14ac:dyDescent="0.35">
      <c r="A49" t="s">
        <v>232</v>
      </c>
    </row>
    <row r="52" spans="1:1" x14ac:dyDescent="0.35">
      <c r="A52" s="34" t="s">
        <v>234</v>
      </c>
    </row>
    <row r="53" spans="1:1" x14ac:dyDescent="0.35">
      <c r="A53" t="s">
        <v>235</v>
      </c>
    </row>
    <row r="54" spans="1:1" x14ac:dyDescent="0.35">
      <c r="A54" t="s">
        <v>236</v>
      </c>
    </row>
    <row r="56" spans="1:1" x14ac:dyDescent="0.35">
      <c r="A56" t="s">
        <v>237</v>
      </c>
    </row>
    <row r="57" spans="1:1" x14ac:dyDescent="0.35">
      <c r="A57" t="s">
        <v>269</v>
      </c>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B1:H11"/>
  <sheetViews>
    <sheetView workbookViewId="0">
      <selection activeCell="E15" sqref="E15"/>
    </sheetView>
  </sheetViews>
  <sheetFormatPr baseColWidth="10" defaultRowHeight="14.5" x14ac:dyDescent="0.35"/>
  <cols>
    <col min="5" max="5" width="12.1796875" bestFit="1" customWidth="1"/>
    <col min="6" max="6" width="13" bestFit="1" customWidth="1"/>
    <col min="7" max="7" width="13.81640625" customWidth="1"/>
    <col min="8" max="8" width="14.26953125" customWidth="1"/>
  </cols>
  <sheetData>
    <row r="1" spans="2:8" ht="15" thickBot="1" x14ac:dyDescent="0.4">
      <c r="C1" s="5" t="s">
        <v>35</v>
      </c>
      <c r="D1" s="6">
        <f>Hauptmenü!G35</f>
        <v>0</v>
      </c>
      <c r="E1" s="5" t="s">
        <v>34</v>
      </c>
      <c r="F1" s="6"/>
      <c r="G1" s="5" t="s">
        <v>42</v>
      </c>
      <c r="H1" s="6"/>
    </row>
    <row r="2" spans="2:8" ht="15" thickBot="1" x14ac:dyDescent="0.4">
      <c r="C2" s="12" t="s">
        <v>10</v>
      </c>
      <c r="D2" s="25" t="s">
        <v>41</v>
      </c>
      <c r="E2" s="12" t="s">
        <v>36</v>
      </c>
      <c r="F2" s="18" t="s">
        <v>37</v>
      </c>
      <c r="G2" s="12" t="s">
        <v>39</v>
      </c>
      <c r="H2" s="13" t="s">
        <v>40</v>
      </c>
    </row>
    <row r="3" spans="2:8" x14ac:dyDescent="0.35">
      <c r="B3" s="22" t="s">
        <v>0</v>
      </c>
      <c r="C3" s="14">
        <f>IF(ISNUMBER(Hauptmenü!O13), Hauptmenü!O13, 0)</f>
        <v>0</v>
      </c>
      <c r="D3" s="11">
        <f t="shared" ref="D3:D9" si="0">$D$1*1000000*C3</f>
        <v>0</v>
      </c>
      <c r="E3" s="16">
        <v>100</v>
      </c>
      <c r="F3" s="19">
        <v>100000</v>
      </c>
      <c r="G3" s="27">
        <f>C3/E3</f>
        <v>0</v>
      </c>
      <c r="H3" s="28">
        <f>D3/F3</f>
        <v>0</v>
      </c>
    </row>
    <row r="4" spans="2:8" x14ac:dyDescent="0.35">
      <c r="B4" s="23" t="s">
        <v>1</v>
      </c>
      <c r="C4" s="14">
        <f>IF(ISNUMBER(Hauptmenü!O14), Hauptmenü!O14, 0)</f>
        <v>0</v>
      </c>
      <c r="D4" s="11">
        <f t="shared" si="0"/>
        <v>0</v>
      </c>
      <c r="E4" s="16">
        <v>100</v>
      </c>
      <c r="F4" s="19">
        <v>100000</v>
      </c>
      <c r="G4" s="27">
        <f t="shared" ref="G4:G9" si="1">C4/E4</f>
        <v>0</v>
      </c>
      <c r="H4" s="28">
        <f t="shared" ref="H4:H9" si="2">D4/F4</f>
        <v>0</v>
      </c>
    </row>
    <row r="5" spans="2:8" x14ac:dyDescent="0.35">
      <c r="B5" s="23" t="s">
        <v>2</v>
      </c>
      <c r="C5" s="14">
        <f>IF(ISNUMBER(Hauptmenü!O15), Hauptmenü!O15, 0)</f>
        <v>0</v>
      </c>
      <c r="D5" s="11">
        <f t="shared" si="0"/>
        <v>0</v>
      </c>
      <c r="E5" s="16">
        <v>100</v>
      </c>
      <c r="F5" s="19">
        <v>100000</v>
      </c>
      <c r="G5" s="27">
        <f t="shared" si="1"/>
        <v>0</v>
      </c>
      <c r="H5" s="28">
        <f t="shared" si="2"/>
        <v>0</v>
      </c>
    </row>
    <row r="6" spans="2:8" x14ac:dyDescent="0.35">
      <c r="B6" s="23" t="s">
        <v>3</v>
      </c>
      <c r="C6" s="14">
        <f>IF(ISNUMBER(Hauptmenü!O16), Hauptmenü!O16, 0)</f>
        <v>0</v>
      </c>
      <c r="D6" s="11">
        <f t="shared" si="0"/>
        <v>0</v>
      </c>
      <c r="E6" s="16">
        <v>100</v>
      </c>
      <c r="F6" s="19">
        <v>100000</v>
      </c>
      <c r="G6" s="27">
        <f t="shared" si="1"/>
        <v>0</v>
      </c>
      <c r="H6" s="28">
        <f t="shared" si="2"/>
        <v>0</v>
      </c>
    </row>
    <row r="7" spans="2:8" x14ac:dyDescent="0.35">
      <c r="B7" s="23" t="s">
        <v>38</v>
      </c>
      <c r="C7" s="14">
        <f>IF(ISNUMBER(Hauptmenü!O17), Hauptmenü!O17, 0)</f>
        <v>0</v>
      </c>
      <c r="D7" s="11">
        <f t="shared" si="0"/>
        <v>0</v>
      </c>
      <c r="E7" s="16">
        <v>100</v>
      </c>
      <c r="F7" s="19">
        <v>100000</v>
      </c>
      <c r="G7" s="27">
        <f t="shared" si="1"/>
        <v>0</v>
      </c>
      <c r="H7" s="28">
        <f t="shared" si="2"/>
        <v>0</v>
      </c>
    </row>
    <row r="8" spans="2:8" x14ac:dyDescent="0.35">
      <c r="B8" s="23" t="s">
        <v>4</v>
      </c>
      <c r="C8" s="14">
        <f>IF(ISNUMBER(Hauptmenü!O18), Hauptmenü!O18, 0)</f>
        <v>0</v>
      </c>
      <c r="D8" s="11">
        <f t="shared" si="0"/>
        <v>0</v>
      </c>
      <c r="E8" s="16">
        <v>100</v>
      </c>
      <c r="F8" s="19">
        <v>1000000</v>
      </c>
      <c r="G8" s="27">
        <f t="shared" si="1"/>
        <v>0</v>
      </c>
      <c r="H8" s="28">
        <f t="shared" si="2"/>
        <v>0</v>
      </c>
    </row>
    <row r="9" spans="2:8" ht="15" thickBot="1" x14ac:dyDescent="0.4">
      <c r="B9" s="24" t="s">
        <v>5</v>
      </c>
      <c r="C9" s="21">
        <f>IF(ISNUMBER(Hauptmenü!O19), Hauptmenü!O19, 0)</f>
        <v>0</v>
      </c>
      <c r="D9" s="26">
        <f t="shared" si="0"/>
        <v>0</v>
      </c>
      <c r="E9" s="17">
        <v>10</v>
      </c>
      <c r="F9" s="20">
        <v>100000</v>
      </c>
      <c r="G9" s="29">
        <f t="shared" si="1"/>
        <v>0</v>
      </c>
      <c r="H9" s="30">
        <f t="shared" si="2"/>
        <v>0</v>
      </c>
    </row>
    <row r="10" spans="2:8" ht="15" thickBot="1" x14ac:dyDescent="0.4">
      <c r="G10" s="31">
        <f>SUM(G3:G9)</f>
        <v>0</v>
      </c>
      <c r="H10" s="32">
        <f>SUM(H3:H9)</f>
        <v>0</v>
      </c>
    </row>
    <row r="11" spans="2:8" ht="15" thickBot="1" x14ac:dyDescent="0.4">
      <c r="G11" s="4" t="s">
        <v>43</v>
      </c>
      <c r="H11" s="33" t="str">
        <f>IF(AND(G10&gt;1,H10&gt;1),"Ja","Nein")</f>
        <v>Nein</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vt:i4>
      </vt:variant>
    </vt:vector>
  </HeadingPairs>
  <TitlesOfParts>
    <vt:vector size="10" baseType="lpstr">
      <vt:lpstr>Kurzanleitung</vt:lpstr>
      <vt:lpstr>Hauptmenü</vt:lpstr>
      <vt:lpstr>Dosisabschätzung</vt:lpstr>
      <vt:lpstr>Dosis Hilfsblatt</vt:lpstr>
      <vt:lpstr>Filtersand,-kies</vt:lpstr>
      <vt:lpstr>Kornaktivkohle</vt:lpstr>
      <vt:lpstr>Harze</vt:lpstr>
      <vt:lpstr>Auswahl</vt:lpstr>
      <vt:lpstr>ADR</vt:lpstr>
      <vt:lpstr>Auswahl!_Hlk46430197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Kunze</dc:creator>
  <cp:lastModifiedBy>Achim Rübel</cp:lastModifiedBy>
  <cp:lastPrinted>2021-01-05T13:43:28Z</cp:lastPrinted>
  <dcterms:created xsi:type="dcterms:W3CDTF">2020-06-12T05:42:39Z</dcterms:created>
  <dcterms:modified xsi:type="dcterms:W3CDTF">2021-03-01T12:36:49Z</dcterms:modified>
</cp:coreProperties>
</file>